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loe/Desktop/PLANES E INFORMES INAMU/INFORMES /"/>
    </mc:Choice>
  </mc:AlternateContent>
  <xr:revisionPtr revIDLastSave="0" documentId="13_ncr:1_{544A9E2E-A511-404E-908C-1908CE0DE6AC}" xr6:coauthVersionLast="47" xr6:coauthVersionMax="47" xr10:uidLastSave="{00000000-0000-0000-0000-000000000000}"/>
  <bookViews>
    <workbookView xWindow="0" yWindow="500" windowWidth="20480" windowHeight="11420" activeTab="3" xr2:uid="{F9635261-B998-4FE7-90DA-80821883C59E}"/>
  </bookViews>
  <sheets>
    <sheet name="Cuadro 1 Programático I SEMES" sheetId="8" r:id="rId1"/>
    <sheet name="Ejec. x Actividad" sheetId="1" r:id="rId2"/>
    <sheet name="Ejec. x Dependencia" sheetId="2" r:id="rId3"/>
    <sheet name="Ejec. x Proceso y Partida" sheetId="5" r:id="rId4"/>
  </sheets>
  <definedNames>
    <definedName name="_xlnm._FilterDatabase" localSheetId="2" hidden="1">'Ejec. x Dependencia'!$C$9:$J$53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8" l="1"/>
  <c r="N12" i="8"/>
  <c r="M12" i="8"/>
  <c r="L12" i="8"/>
  <c r="L11" i="8" s="1"/>
  <c r="K12" i="8"/>
  <c r="K11" i="8" s="1"/>
  <c r="P11" i="8" s="1"/>
  <c r="J12" i="8"/>
  <c r="O11" i="8"/>
  <c r="N11" i="8"/>
  <c r="M11" i="8"/>
  <c r="J11" i="8"/>
  <c r="P10" i="8"/>
  <c r="P9" i="8"/>
  <c r="O9" i="8"/>
  <c r="N9" i="8"/>
  <c r="M9" i="8"/>
  <c r="L9" i="8"/>
  <c r="K9" i="8"/>
  <c r="J9" i="8"/>
  <c r="H24" i="2"/>
  <c r="F24" i="2"/>
  <c r="F50" i="2" s="1"/>
  <c r="H50" i="2"/>
  <c r="G24" i="2"/>
  <c r="G21" i="2"/>
  <c r="I21" i="2" s="1"/>
  <c r="E21" i="2"/>
  <c r="G32" i="2"/>
  <c r="G31" i="2"/>
  <c r="E24" i="2"/>
  <c r="E41" i="2"/>
  <c r="E31" i="2"/>
  <c r="C43" i="2"/>
  <c r="I43" i="2" s="1"/>
  <c r="C44" i="2"/>
  <c r="I44" i="2" s="1"/>
  <c r="C32" i="2"/>
  <c r="C24" i="2"/>
  <c r="D24" i="2"/>
  <c r="D44" i="2"/>
  <c r="J44" i="2" s="1"/>
  <c r="D10" i="1"/>
  <c r="C31" i="2"/>
  <c r="J49" i="2"/>
  <c r="I49" i="2"/>
  <c r="J48" i="2"/>
  <c r="I48" i="2"/>
  <c r="J47" i="2"/>
  <c r="I47" i="2"/>
  <c r="J46" i="2"/>
  <c r="I46" i="2"/>
  <c r="J45" i="2"/>
  <c r="I45" i="2"/>
  <c r="J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J31" i="2"/>
  <c r="J30" i="2"/>
  <c r="I30" i="2"/>
  <c r="J29" i="2"/>
  <c r="I29" i="2"/>
  <c r="J28" i="2"/>
  <c r="I28" i="2"/>
  <c r="J27" i="2"/>
  <c r="I27" i="2"/>
  <c r="J26" i="2"/>
  <c r="I26" i="2"/>
  <c r="J25" i="2"/>
  <c r="I25" i="2"/>
  <c r="J23" i="2"/>
  <c r="I23" i="2"/>
  <c r="J22" i="2"/>
  <c r="I22" i="2"/>
  <c r="J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G35" i="2"/>
  <c r="G48" i="2"/>
  <c r="G47" i="2"/>
  <c r="G44" i="2"/>
  <c r="G45" i="2"/>
  <c r="G41" i="2"/>
  <c r="G39" i="2"/>
  <c r="G36" i="2"/>
  <c r="G29" i="2"/>
  <c r="G28" i="2"/>
  <c r="G25" i="2"/>
  <c r="G23" i="2"/>
  <c r="G18" i="2"/>
  <c r="G17" i="2"/>
  <c r="G13" i="2"/>
  <c r="G12" i="2"/>
  <c r="G11" i="2"/>
  <c r="E46" i="2"/>
  <c r="E39" i="2"/>
  <c r="E36" i="2"/>
  <c r="E35" i="2"/>
  <c r="E29" i="2"/>
  <c r="E28" i="2"/>
  <c r="E26" i="2"/>
  <c r="E25" i="2"/>
  <c r="E23" i="2"/>
  <c r="E13" i="2"/>
  <c r="E12" i="2"/>
  <c r="E11" i="2"/>
  <c r="D47" i="2"/>
  <c r="D46" i="2"/>
  <c r="C45" i="2"/>
  <c r="C39" i="2"/>
  <c r="D36" i="2"/>
  <c r="C30" i="2"/>
  <c r="D29" i="2"/>
  <c r="D28" i="2"/>
  <c r="D26" i="2"/>
  <c r="D25" i="2"/>
  <c r="D23" i="2"/>
  <c r="D21" i="2"/>
  <c r="D18" i="2"/>
  <c r="D13" i="2"/>
  <c r="D12" i="2"/>
  <c r="D11" i="2"/>
  <c r="C35" i="2"/>
  <c r="I18" i="1"/>
  <c r="I12" i="1"/>
  <c r="J10" i="1" s="1"/>
  <c r="I10" i="1"/>
  <c r="F18" i="1"/>
  <c r="F12" i="1"/>
  <c r="F10" i="1"/>
  <c r="G10" i="1" s="1"/>
  <c r="C18" i="1"/>
  <c r="C12" i="1"/>
  <c r="C10" i="1"/>
  <c r="P13" i="8" l="1"/>
  <c r="I24" i="2"/>
  <c r="I32" i="2"/>
  <c r="I31" i="2"/>
  <c r="J24" i="2"/>
  <c r="J50" i="2" s="1"/>
  <c r="D50" i="2"/>
  <c r="C50" i="2"/>
  <c r="G50" i="2"/>
  <c r="E50" i="2"/>
  <c r="E51" i="2" l="1"/>
  <c r="G51" i="2"/>
  <c r="G52" i="2" s="1"/>
  <c r="C51" i="2"/>
  <c r="C52" i="2" s="1"/>
  <c r="K16" i="1"/>
  <c r="K15" i="1"/>
  <c r="K19" i="1"/>
  <c r="K18" i="1"/>
  <c r="K14" i="1"/>
  <c r="K12" i="1"/>
  <c r="K11" i="1"/>
  <c r="K10" i="1"/>
  <c r="K17" i="1"/>
  <c r="F52" i="2" l="1"/>
  <c r="E52" i="2"/>
  <c r="D52" i="2"/>
  <c r="H52" i="2"/>
  <c r="K13" i="1"/>
  <c r="K20" i="1" s="1"/>
  <c r="E41" i="5" l="1"/>
  <c r="D41" i="5"/>
  <c r="C41" i="5"/>
  <c r="F40" i="5"/>
  <c r="F39" i="5"/>
  <c r="F38" i="5"/>
  <c r="F37" i="5"/>
  <c r="F36" i="5"/>
  <c r="F35" i="5"/>
  <c r="F34" i="5"/>
  <c r="F41" i="5" l="1"/>
  <c r="E22" i="5" l="1"/>
  <c r="D22" i="5"/>
  <c r="C22" i="5"/>
  <c r="F21" i="5"/>
  <c r="M19" i="1" l="1"/>
  <c r="M18" i="1"/>
  <c r="M17" i="1"/>
  <c r="L17" i="1"/>
  <c r="M16" i="1"/>
  <c r="L16" i="1"/>
  <c r="M15" i="1"/>
  <c r="L15" i="1"/>
  <c r="M14" i="1"/>
  <c r="L14" i="1"/>
  <c r="L13" i="1"/>
  <c r="M11" i="1"/>
  <c r="L11" i="1"/>
  <c r="L19" i="1"/>
  <c r="N14" i="1" l="1"/>
  <c r="N19" i="1"/>
  <c r="N15" i="1"/>
  <c r="N17" i="1"/>
  <c r="N11" i="1"/>
  <c r="N16" i="1"/>
  <c r="E19" i="1"/>
  <c r="E17" i="1"/>
  <c r="E16" i="1"/>
  <c r="E15" i="1"/>
  <c r="E14" i="1"/>
  <c r="E11" i="1"/>
  <c r="M12" i="1"/>
  <c r="I50" i="2" l="1"/>
  <c r="M10" i="1"/>
  <c r="I51" i="2" l="1"/>
  <c r="J52" i="2" s="1"/>
  <c r="L12" i="1"/>
  <c r="N12" i="1" s="1"/>
  <c r="E12" i="1"/>
  <c r="L10" i="1"/>
  <c r="N10" i="1" s="1"/>
  <c r="L18" i="1"/>
  <c r="N18" i="1" s="1"/>
  <c r="E18" i="1"/>
  <c r="E10" i="1"/>
  <c r="I52" i="2" l="1"/>
  <c r="E13" i="1"/>
  <c r="M13" i="1"/>
  <c r="N13" i="1" s="1"/>
  <c r="F20" i="5" l="1"/>
  <c r="F19" i="5"/>
  <c r="F18" i="5"/>
  <c r="F17" i="5"/>
  <c r="F16" i="5"/>
  <c r="F15" i="5"/>
  <c r="F14" i="5"/>
  <c r="F13" i="5"/>
  <c r="F12" i="5"/>
  <c r="F11" i="5"/>
  <c r="F10" i="5"/>
  <c r="F22" i="5" l="1"/>
  <c r="H19" i="1" l="1"/>
  <c r="H17" i="1"/>
  <c r="H13" i="1"/>
  <c r="H15" i="1"/>
  <c r="H18" i="1"/>
  <c r="H14" i="1"/>
  <c r="H11" i="1" l="1"/>
  <c r="H16" i="1"/>
  <c r="H10" i="1" l="1"/>
  <c r="H12" i="1"/>
  <c r="G20" i="1" l="1"/>
  <c r="I20" i="1" l="1"/>
  <c r="H20" i="1"/>
  <c r="C20" i="1"/>
  <c r="F20" i="1"/>
  <c r="J20" i="1" l="1"/>
  <c r="E20" i="1"/>
  <c r="D20" i="1"/>
  <c r="L20" i="1"/>
  <c r="N20" i="1" l="1"/>
  <c r="M20" i="1"/>
</calcChain>
</file>

<file path=xl/sharedStrings.xml><?xml version="1.0" encoding="utf-8"?>
<sst xmlns="http://schemas.openxmlformats.org/spreadsheetml/2006/main" count="238" uniqueCount="196">
  <si>
    <t>Cuadro N° 2</t>
  </si>
  <si>
    <t>TOTAL</t>
  </si>
  <si>
    <t>Remuneraciones</t>
  </si>
  <si>
    <t>Otras subpartidas</t>
  </si>
  <si>
    <t>Total</t>
  </si>
  <si>
    <t>AA</t>
  </si>
  <si>
    <t>CS</t>
  </si>
  <si>
    <t>TI</t>
  </si>
  <si>
    <t xml:space="preserve">Gestión de Tecnologías de información y comunicaciones </t>
  </si>
  <si>
    <t>PL</t>
  </si>
  <si>
    <t xml:space="preserve">Planificación, seguimiento y evaluación </t>
  </si>
  <si>
    <t>AM</t>
  </si>
  <si>
    <t>Atención de las mujeres en situación de violencia y prevención del femicidio</t>
  </si>
  <si>
    <t>DP</t>
  </si>
  <si>
    <t>IO</t>
  </si>
  <si>
    <t xml:space="preserve">Información, orientación y referencia </t>
  </si>
  <si>
    <t>PT</t>
  </si>
  <si>
    <t xml:space="preserve">Prestación territorial del servicio </t>
  </si>
  <si>
    <t>IE</t>
  </si>
  <si>
    <t xml:space="preserve">Incidencia, alianzas y construcción de capacidades en el sector público </t>
  </si>
  <si>
    <t>IS</t>
  </si>
  <si>
    <t xml:space="preserve">Incidencia, alianzas y construcción de capacidades en actores estratégicos de la soc civil </t>
  </si>
  <si>
    <t>ACTIVIDADES</t>
  </si>
  <si>
    <t>AI</t>
  </si>
  <si>
    <t>Auditoría Interna</t>
  </si>
  <si>
    <t>Asesoría Legal</t>
  </si>
  <si>
    <t>CA</t>
  </si>
  <si>
    <t>Ciudadanía Activa</t>
  </si>
  <si>
    <t>CC</t>
  </si>
  <si>
    <t>CEAAM Caribe</t>
  </si>
  <si>
    <t>CD</t>
  </si>
  <si>
    <t>CCAD</t>
  </si>
  <si>
    <t>CI</t>
  </si>
  <si>
    <t>Construcción de Identidades</t>
  </si>
  <si>
    <t>CJ</t>
  </si>
  <si>
    <t>Condición Jurídica</t>
  </si>
  <si>
    <t>CM</t>
  </si>
  <si>
    <t>CEAAM Metropolitano</t>
  </si>
  <si>
    <t>CP</t>
  </si>
  <si>
    <t>Centro de Formación Politíca de las Mujeres</t>
  </si>
  <si>
    <t>CO</t>
  </si>
  <si>
    <t>CEAAM Occidente</t>
  </si>
  <si>
    <t>KS</t>
  </si>
  <si>
    <t>Contraloría de Servicios</t>
  </si>
  <si>
    <t>DA</t>
  </si>
  <si>
    <t>Dirección Administrativa</t>
  </si>
  <si>
    <t>DE</t>
  </si>
  <si>
    <t>Dirección Estratégica</t>
  </si>
  <si>
    <t>DM</t>
  </si>
  <si>
    <t>Delegación de la Mujer</t>
  </si>
  <si>
    <t>DO</t>
  </si>
  <si>
    <t>Unidad de Documentación</t>
  </si>
  <si>
    <t>DR</t>
  </si>
  <si>
    <t>Desarrollo Regional</t>
  </si>
  <si>
    <t>FC</t>
  </si>
  <si>
    <t>Financiero Contable</t>
  </si>
  <si>
    <t>GP</t>
  </si>
  <si>
    <t>Gestión de Politícas Públicas</t>
  </si>
  <si>
    <t>IN</t>
  </si>
  <si>
    <t>Unidad de Investigación</t>
  </si>
  <si>
    <t>JD</t>
  </si>
  <si>
    <t>Junta Directiva</t>
  </si>
  <si>
    <t>OI</t>
  </si>
  <si>
    <t>Centro de Información y Orientación</t>
  </si>
  <si>
    <t>PC</t>
  </si>
  <si>
    <t>Prensa y Comunicación</t>
  </si>
  <si>
    <t>PE</t>
  </si>
  <si>
    <t>Presidencia Ejecutiva</t>
  </si>
  <si>
    <t>PI</t>
  </si>
  <si>
    <t>Planificación Institucional</t>
  </si>
  <si>
    <t>PR</t>
  </si>
  <si>
    <t>Proveeduría Institucional</t>
  </si>
  <si>
    <t>RA</t>
  </si>
  <si>
    <t>U. Regional Central Occidente</t>
  </si>
  <si>
    <t>RB</t>
  </si>
  <si>
    <t>U. Regional Brunca</t>
  </si>
  <si>
    <t>RC</t>
  </si>
  <si>
    <t>U. Regional Caribe</t>
  </si>
  <si>
    <t>RG</t>
  </si>
  <si>
    <t>U. Regional Chorotega</t>
  </si>
  <si>
    <t>RH</t>
  </si>
  <si>
    <t>RI</t>
  </si>
  <si>
    <t xml:space="preserve">Relaciones Internacionales y Coop. Int. </t>
  </si>
  <si>
    <t>RN</t>
  </si>
  <si>
    <t>U. Regional Huetar Norte</t>
  </si>
  <si>
    <t>RO</t>
  </si>
  <si>
    <t>U. Regional Central Oriente</t>
  </si>
  <si>
    <t>RP</t>
  </si>
  <si>
    <t>U. Regional Pacífico Central</t>
  </si>
  <si>
    <t>SG</t>
  </si>
  <si>
    <t>Servicios Generales y Transporte</t>
  </si>
  <si>
    <t>ST</t>
  </si>
  <si>
    <t>Secretaría Técnica de la PIEG</t>
  </si>
  <si>
    <t>TS</t>
  </si>
  <si>
    <t>Unidad de Tesorería</t>
  </si>
  <si>
    <t>UI</t>
  </si>
  <si>
    <t>Unidad de Informática</t>
  </si>
  <si>
    <t>VI</t>
  </si>
  <si>
    <t>Violencia de Género (VG)</t>
  </si>
  <si>
    <t>Dependencia</t>
  </si>
  <si>
    <t>Reporte de gastos efectivos por DEPENDENCIA</t>
  </si>
  <si>
    <t>Reporte de gastos efectivos por PROCESO</t>
  </si>
  <si>
    <t>A</t>
  </si>
  <si>
    <t>Apoyo Administrativo Financiero.</t>
  </si>
  <si>
    <t>B</t>
  </si>
  <si>
    <t>Planificación Institucional.</t>
  </si>
  <si>
    <t>C</t>
  </si>
  <si>
    <t>Gestión Tecnologías de Información.</t>
  </si>
  <si>
    <t>D</t>
  </si>
  <si>
    <t>Conducción Político Estratégica.</t>
  </si>
  <si>
    <t>E</t>
  </si>
  <si>
    <t>Dirección de Programa</t>
  </si>
  <si>
    <t>F</t>
  </si>
  <si>
    <t>Atención Directa a Mujeres</t>
  </si>
  <si>
    <t>G</t>
  </si>
  <si>
    <t>Capacitación y Formación y Asesoría con las Mujeres.</t>
  </si>
  <si>
    <t>H</t>
  </si>
  <si>
    <t>Promoción y Divulgación sobre los derechos de las mujeres.</t>
  </si>
  <si>
    <t>J</t>
  </si>
  <si>
    <t>Asistencia Técnica Normativa y Legistación.</t>
  </si>
  <si>
    <t>K</t>
  </si>
  <si>
    <t>Asistencia Técnica para actores estratégicos.</t>
  </si>
  <si>
    <t>L</t>
  </si>
  <si>
    <t xml:space="preserve">Asistencia Técnica Políticas Públicas. </t>
  </si>
  <si>
    <t>M</t>
  </si>
  <si>
    <t>Información y Conocimiento</t>
  </si>
  <si>
    <t>Cuadro N° 4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</si>
  <si>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</si>
  <si>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</si>
  <si>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</si>
  <si>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</si>
  <si>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</si>
  <si>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</si>
  <si>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Cuadro N° 3</t>
  </si>
  <si>
    <t>Reporte de gastos efectivos por ACTIVIDAD</t>
  </si>
  <si>
    <t>Reporte de gastos efectivos financiados por el Fondo de Desarrollo Social y Asignaciones Familiares</t>
  </si>
  <si>
    <t>Reporte de gastos efectivos  financiados por el Fondo de Des. Soc. y Asig. Fam.</t>
  </si>
  <si>
    <t>Cuadro N° 5</t>
  </si>
  <si>
    <t>Reporte de gastos efectivos por PARTIDA PRESUPUESTARIA</t>
  </si>
  <si>
    <t>PROCESO</t>
  </si>
  <si>
    <t xml:space="preserve">Recursos Humanos </t>
  </si>
  <si>
    <t>PARTIDA</t>
  </si>
  <si>
    <t>ENERO</t>
  </si>
  <si>
    <t>FEBRERO</t>
  </si>
  <si>
    <t>MARZO</t>
  </si>
  <si>
    <t>Conducción superior del INAMU (DS)</t>
  </si>
  <si>
    <t>Apoyo Administrativo</t>
  </si>
  <si>
    <t>Dirección del Programa</t>
  </si>
  <si>
    <t xml:space="preserve">Programa: </t>
  </si>
  <si>
    <t>Técnico</t>
  </si>
  <si>
    <t>Institución:</t>
  </si>
  <si>
    <t>Instituto Nacional de las Mujeres (INAMU)</t>
  </si>
  <si>
    <t>I-2021</t>
  </si>
  <si>
    <t>Año:</t>
  </si>
  <si>
    <t>DEPARTAMENTO</t>
  </si>
  <si>
    <t>Producto</t>
  </si>
  <si>
    <t>Unidad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</si>
  <si>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</si>
  <si>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</si>
  <si>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</si>
  <si>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</si>
  <si>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</si>
  <si>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</si>
  <si>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</si>
  <si>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</si>
  <si>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</si>
  <si>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Total </t>
  </si>
  <si>
    <t>Observaciones</t>
  </si>
  <si>
    <t>INTERVENCIÓN ESTRATÉGICA</t>
  </si>
  <si>
    <t>NOMBRE TEMÁTICA DESARROLLADA</t>
  </si>
  <si>
    <t>Cantidad ♀ ♂ por tema</t>
  </si>
  <si>
    <t>DIVISIÓN REGIONAL-CANTONAL</t>
  </si>
  <si>
    <t>♀</t>
  </si>
  <si>
    <t>♂</t>
  </si>
  <si>
    <t>REGION</t>
  </si>
  <si>
    <t>CANTÓN</t>
  </si>
  <si>
    <t>1. Atención Directa</t>
  </si>
  <si>
    <t>Mujeres</t>
  </si>
  <si>
    <t xml:space="preserve"> </t>
  </si>
  <si>
    <t xml:space="preserve">2. Capacitación y formación </t>
  </si>
  <si>
    <t>3. Producción y difusión masiva de estudios y materiales especializados en género</t>
  </si>
  <si>
    <t xml:space="preserve">Personas </t>
  </si>
  <si>
    <t>4. Incidencia y Gestión Normativa y de Política Pública</t>
  </si>
  <si>
    <t>II Trimestre del 2021</t>
  </si>
  <si>
    <t>Abril</t>
  </si>
  <si>
    <t>Mayo</t>
  </si>
  <si>
    <t>Junio</t>
  </si>
  <si>
    <t>EI</t>
  </si>
  <si>
    <t>Dep. Especializado de Información</t>
  </si>
  <si>
    <t>AS</t>
  </si>
  <si>
    <t>Fuente: INAMU, Depto. Financiero Contable.</t>
  </si>
  <si>
    <t>Remunerac.</t>
  </si>
  <si>
    <t>Distribución</t>
  </si>
  <si>
    <t>O. Subpartidas</t>
  </si>
  <si>
    <t xml:space="preserve">Cuadro No. 1. INAMU. INFORME FODESAF I SEMESTRE 2021
Metas institucionales alcanzadas según producto institucional
(servicio brindado) </t>
  </si>
  <si>
    <r>
      <rPr>
        <b/>
        <sz val="12"/>
        <color rgb="FF000000"/>
        <rFont val="Century Gothic"/>
        <family val="2"/>
      </rPr>
      <t>Semestre</t>
    </r>
    <r>
      <rPr>
        <b/>
        <sz val="12"/>
        <color indexed="8"/>
        <rFont val="Century Gothic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</si>
</sst>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 * #,##0.00_ ;_ * \-#,##0.00_ ;_ * &quot;-&quot;??_ ;_ @_ "/>
    <numFmt numFmtId="165" formatCode="[$₡-140A]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ourier New"/>
      <family val="3"/>
    </font>
    <font>
      <b/>
      <sz val="11"/>
      <name val="Calibri"/>
      <family val="2"/>
      <scheme val="minor"/>
    </font>
    <font>
      <b/>
      <sz val="11"/>
      <color rgb="FFCC66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indexed="8"/>
      <name val="Century Gothic"/>
      <family val="2"/>
    </font>
    <font>
      <b/>
      <sz val="14"/>
      <color indexed="8"/>
      <name val="Century Gothic"/>
      <family val="1"/>
    </font>
    <font>
      <b/>
      <sz val="14"/>
      <name val="Century Gothic"/>
      <family val="1"/>
    </font>
    <font>
      <sz val="11"/>
      <color indexed="8"/>
      <name val="Century Gothic"/>
      <family val="2"/>
    </font>
    <font>
      <sz val="14"/>
      <name val="Century Gothic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1"/>
    </font>
    <font>
      <b/>
      <sz val="12"/>
      <name val="Century Gothic"/>
      <family val="1"/>
    </font>
    <font>
      <sz val="12"/>
      <name val="Century Gothic"/>
      <family val="2"/>
    </font>
    <font>
      <b/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6"/>
      <name val="Century Gothic"/>
      <family val="2"/>
    </font>
    <font>
      <b/>
      <sz val="16"/>
      <color indexed="8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6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82">
    <xf numFmtId="0" fontId="0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/>
    <xf numFmtId="0" fontId="3" fillId="0" borderId="0" xfId="0" applyFont="1" applyFill="1" applyBorder="1" applyAlignment="1">
      <alignment horizontal="center"/>
    </xf>
    <xf numFmtId="3" fontId="0" fillId="0" borderId="0" xfId="0" applyNumberFormat="1"/>
    <xf numFmtId="49" fontId="5" fillId="2" borderId="15" xfId="0" quotePrefix="1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/>
    <xf numFmtId="3" fontId="0" fillId="0" borderId="0" xfId="0" applyNumberFormat="1" applyAlignment="1">
      <alignment vertical="center"/>
    </xf>
    <xf numFmtId="0" fontId="8" fillId="0" borderId="0" xfId="0" applyFont="1" applyAlignment="1">
      <alignment vertical="top" wrapText="1"/>
    </xf>
    <xf numFmtId="3" fontId="5" fillId="0" borderId="30" xfId="0" applyNumberFormat="1" applyFont="1" applyBorder="1" applyAlignment="1">
      <alignment horizontal="center" vertical="top" wrapText="1"/>
    </xf>
    <xf numFmtId="3" fontId="5" fillId="0" borderId="31" xfId="0" applyNumberFormat="1" applyFont="1" applyBorder="1" applyAlignment="1">
      <alignment vertical="top" wrapText="1"/>
    </xf>
    <xf numFmtId="3" fontId="5" fillId="0" borderId="15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32" xfId="0" applyNumberFormat="1" applyFont="1" applyBorder="1" applyAlignment="1">
      <alignment horizontal="center" vertical="top" wrapText="1"/>
    </xf>
    <xf numFmtId="3" fontId="5" fillId="0" borderId="33" xfId="0" applyNumberFormat="1" applyFont="1" applyBorder="1" applyAlignment="1">
      <alignment vertical="top" wrapText="1"/>
    </xf>
    <xf numFmtId="49" fontId="5" fillId="2" borderId="30" xfId="0" quotePrefix="1" applyNumberFormat="1" applyFont="1" applyFill="1" applyBorder="1" applyAlignment="1">
      <alignment horizontal="center" vertical="center"/>
    </xf>
    <xf numFmtId="3" fontId="5" fillId="0" borderId="37" xfId="0" applyNumberFormat="1" applyFont="1" applyBorder="1"/>
    <xf numFmtId="3" fontId="5" fillId="0" borderId="4" xfId="0" applyNumberFormat="1" applyFont="1" applyBorder="1"/>
    <xf numFmtId="3" fontId="5" fillId="0" borderId="37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5" fillId="0" borderId="40" xfId="0" applyNumberFormat="1" applyFont="1" applyBorder="1" applyAlignment="1">
      <alignment vertical="top" wrapText="1"/>
    </xf>
    <xf numFmtId="3" fontId="5" fillId="0" borderId="38" xfId="0" applyNumberFormat="1" applyFont="1" applyBorder="1" applyAlignment="1">
      <alignment vertical="top" wrapText="1"/>
    </xf>
    <xf numFmtId="3" fontId="5" fillId="0" borderId="39" xfId="0" applyNumberFormat="1" applyFont="1" applyBorder="1" applyAlignment="1">
      <alignment vertical="top" wrapText="1"/>
    </xf>
    <xf numFmtId="3" fontId="5" fillId="0" borderId="41" xfId="0" applyNumberFormat="1" applyFont="1" applyBorder="1" applyAlignment="1">
      <alignment vertical="top" wrapText="1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24" xfId="0" applyNumberFormat="1" applyFont="1" applyFill="1" applyBorder="1" applyAlignment="1">
      <alignment vertical="center"/>
    </xf>
    <xf numFmtId="3" fontId="7" fillId="5" borderId="3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3" fillId="5" borderId="46" xfId="0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4" fillId="0" borderId="31" xfId="0" applyNumberFormat="1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3" fontId="3" fillId="6" borderId="13" xfId="0" applyNumberFormat="1" applyFont="1" applyFill="1" applyBorder="1" applyAlignment="1">
      <alignment vertical="center"/>
    </xf>
    <xf numFmtId="0" fontId="13" fillId="2" borderId="0" xfId="1" applyFont="1" applyFill="1" applyAlignment="1">
      <alignment vertical="top" wrapText="1"/>
    </xf>
    <xf numFmtId="0" fontId="14" fillId="2" borderId="0" xfId="1" applyFont="1" applyFill="1" applyAlignment="1">
      <alignment vertical="top" wrapText="1"/>
    </xf>
    <xf numFmtId="0" fontId="15" fillId="2" borderId="0" xfId="1" applyFont="1" applyFill="1" applyAlignment="1">
      <alignment vertical="top" wrapText="1"/>
    </xf>
    <xf numFmtId="0" fontId="13" fillId="2" borderId="0" xfId="1" applyFont="1" applyFill="1" applyAlignment="1">
      <alignment vertical="center" wrapText="1"/>
    </xf>
    <xf numFmtId="3" fontId="12" fillId="0" borderId="2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2" fillId="2" borderId="52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3" fontId="3" fillId="2" borderId="52" xfId="0" applyNumberFormat="1" applyFont="1" applyFill="1" applyBorder="1" applyAlignment="1">
      <alignment vertical="center"/>
    </xf>
    <xf numFmtId="0" fontId="0" fillId="2" borderId="0" xfId="0" applyFill="1"/>
    <xf numFmtId="3" fontId="7" fillId="2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18" fillId="2" borderId="0" xfId="1" applyFont="1" applyFill="1" applyAlignment="1">
      <alignment vertical="top" wrapText="1"/>
    </xf>
    <xf numFmtId="0" fontId="19" fillId="2" borderId="0" xfId="1" applyFont="1" applyFill="1" applyAlignment="1">
      <alignment horizontal="left" vertical="top" wrapText="1"/>
    </xf>
    <xf numFmtId="0" fontId="21" fillId="2" borderId="0" xfId="1" applyFont="1" applyFill="1" applyAlignment="1">
      <alignment horizontal="left" vertical="top" wrapText="1"/>
    </xf>
    <xf numFmtId="0" fontId="22" fillId="2" borderId="0" xfId="1" applyFont="1" applyFill="1" applyAlignment="1">
      <alignment vertical="top" wrapText="1"/>
    </xf>
    <xf numFmtId="0" fontId="14" fillId="2" borderId="0" xfId="1" applyFont="1" applyFill="1" applyAlignment="1">
      <alignment horizontal="left" vertical="top" wrapText="1"/>
    </xf>
    <xf numFmtId="0" fontId="23" fillId="2" borderId="0" xfId="1" applyFont="1" applyFill="1" applyAlignment="1">
      <alignment vertical="top" wrapText="1"/>
    </xf>
    <xf numFmtId="0" fontId="24" fillId="2" borderId="0" xfId="1" applyFont="1" applyFill="1" applyAlignment="1">
      <alignment horizontal="left" vertical="top" wrapText="1"/>
    </xf>
    <xf numFmtId="0" fontId="26" fillId="2" borderId="0" xfId="1" applyFont="1" applyFill="1" applyAlignment="1">
      <alignment vertical="top" wrapText="1"/>
    </xf>
    <xf numFmtId="0" fontId="15" fillId="2" borderId="0" xfId="1" applyFont="1" applyFill="1" applyAlignment="1">
      <alignment horizontal="left" vertical="top" wrapText="1"/>
    </xf>
    <xf numFmtId="0" fontId="23" fillId="2" borderId="55" xfId="1" applyFont="1" applyFill="1" applyBorder="1" applyAlignment="1">
      <alignment vertical="top" wrapText="1"/>
    </xf>
    <xf numFmtId="0" fontId="23" fillId="2" borderId="56" xfId="1" applyFont="1" applyFill="1" applyBorder="1" applyAlignment="1">
      <alignment vertical="top" wrapText="1"/>
    </xf>
    <xf numFmtId="0" fontId="21" fillId="2" borderId="56" xfId="1" applyFont="1" applyFill="1" applyBorder="1" applyAlignment="1">
      <alignment horizontal="left" vertical="top" wrapText="1"/>
    </xf>
    <xf numFmtId="0" fontId="26" fillId="2" borderId="56" xfId="1" applyFont="1" applyFill="1" applyBorder="1" applyAlignment="1">
      <alignment vertical="top" wrapText="1"/>
    </xf>
    <xf numFmtId="0" fontId="15" fillId="2" borderId="56" xfId="1" applyFont="1" applyFill="1" applyBorder="1" applyAlignment="1">
      <alignment horizontal="left" vertical="top" wrapText="1"/>
    </xf>
    <xf numFmtId="0" fontId="15" fillId="2" borderId="56" xfId="1" applyFont="1" applyFill="1" applyBorder="1" applyAlignment="1">
      <alignment vertical="top" wrapText="1"/>
    </xf>
    <xf numFmtId="0" fontId="15" fillId="2" borderId="58" xfId="1" applyFont="1" applyFill="1" applyBorder="1" applyAlignment="1">
      <alignment vertical="top" wrapText="1"/>
    </xf>
    <xf numFmtId="0" fontId="23" fillId="2" borderId="59" xfId="1" applyFont="1" applyFill="1" applyBorder="1" applyAlignment="1">
      <alignment vertical="top" wrapText="1"/>
    </xf>
    <xf numFmtId="0" fontId="15" fillId="2" borderId="60" xfId="1" applyFont="1" applyFill="1" applyBorder="1" applyAlignment="1">
      <alignment vertical="top" wrapText="1"/>
    </xf>
    <xf numFmtId="0" fontId="28" fillId="7" borderId="69" xfId="1" applyFont="1" applyFill="1" applyBorder="1" applyAlignment="1">
      <alignment horizontal="center" vertical="center" wrapText="1"/>
    </xf>
    <xf numFmtId="0" fontId="28" fillId="7" borderId="57" xfId="1" applyFont="1" applyFill="1" applyBorder="1" applyAlignment="1">
      <alignment horizontal="center" vertical="center" wrapText="1"/>
    </xf>
    <xf numFmtId="0" fontId="17" fillId="7" borderId="70" xfId="1" applyFont="1" applyFill="1" applyBorder="1" applyAlignment="1">
      <alignment horizontal="center" vertical="center" wrapText="1"/>
    </xf>
    <xf numFmtId="0" fontId="27" fillId="8" borderId="74" xfId="1" applyFont="1" applyFill="1" applyBorder="1" applyAlignment="1" applyProtection="1">
      <alignment vertical="top" wrapText="1"/>
      <protection hidden="1"/>
    </xf>
    <xf numFmtId="0" fontId="29" fillId="8" borderId="58" xfId="1" applyFont="1" applyFill="1" applyBorder="1" applyAlignment="1" applyProtection="1">
      <alignment horizontal="center" vertical="center" wrapText="1"/>
      <protection hidden="1"/>
    </xf>
    <xf numFmtId="0" fontId="13" fillId="8" borderId="56" xfId="1" applyFont="1" applyFill="1" applyBorder="1" applyAlignment="1">
      <alignment vertical="center" wrapText="1"/>
    </xf>
    <xf numFmtId="1" fontId="16" fillId="8" borderId="56" xfId="1" applyNumberFormat="1" applyFont="1" applyFill="1" applyBorder="1" applyAlignment="1" applyProtection="1">
      <alignment horizontal="center" vertical="top" wrapText="1"/>
      <protection hidden="1"/>
    </xf>
    <xf numFmtId="0" fontId="29" fillId="8" borderId="61" xfId="1" applyFont="1" applyFill="1" applyBorder="1" applyAlignment="1">
      <alignment vertical="center" wrapText="1"/>
    </xf>
    <xf numFmtId="0" fontId="13" fillId="8" borderId="60" xfId="1" applyFont="1" applyFill="1" applyBorder="1" applyAlignment="1">
      <alignment vertical="center" wrapText="1"/>
    </xf>
    <xf numFmtId="0" fontId="13" fillId="9" borderId="69" xfId="1" applyFont="1" applyFill="1" applyBorder="1" applyAlignment="1" applyProtection="1">
      <alignment vertical="top" wrapText="1"/>
      <protection locked="0"/>
    </xf>
    <xf numFmtId="0" fontId="27" fillId="9" borderId="65" xfId="1" applyFont="1" applyFill="1" applyBorder="1" applyAlignment="1" applyProtection="1">
      <alignment horizontal="left" vertical="center" wrapText="1"/>
      <protection hidden="1"/>
    </xf>
    <xf numFmtId="0" fontId="29" fillId="8" borderId="65" xfId="1" applyFont="1" applyFill="1" applyBorder="1" applyAlignment="1" applyProtection="1">
      <alignment vertical="center" wrapText="1"/>
      <protection hidden="1"/>
    </xf>
    <xf numFmtId="0" fontId="29" fillId="8" borderId="57" xfId="1" applyFont="1" applyFill="1" applyBorder="1" applyAlignment="1" applyProtection="1">
      <alignment horizontal="center" vertical="center" wrapText="1"/>
      <protection hidden="1"/>
    </xf>
    <xf numFmtId="0" fontId="13" fillId="8" borderId="75" xfId="1" applyFont="1" applyFill="1" applyBorder="1" applyAlignment="1" applyProtection="1">
      <alignment vertical="top" wrapText="1"/>
      <protection hidden="1"/>
    </xf>
    <xf numFmtId="0" fontId="13" fillId="8" borderId="65" xfId="1" applyFont="1" applyFill="1" applyBorder="1" applyAlignment="1" applyProtection="1">
      <alignment vertical="top" wrapText="1"/>
      <protection hidden="1"/>
    </xf>
    <xf numFmtId="0" fontId="17" fillId="8" borderId="55" xfId="1" applyFont="1" applyFill="1" applyBorder="1" applyAlignment="1">
      <alignment vertical="top" wrapText="1"/>
    </xf>
    <xf numFmtId="0" fontId="27" fillId="8" borderId="65" xfId="1" applyFont="1" applyFill="1" applyBorder="1" applyAlignment="1" applyProtection="1">
      <alignment horizontal="left" vertical="top" wrapText="1"/>
      <protection hidden="1"/>
    </xf>
    <xf numFmtId="0" fontId="29" fillId="8" borderId="58" xfId="1" applyFont="1" applyFill="1" applyBorder="1" applyAlignment="1" applyProtection="1">
      <alignment vertical="top" wrapText="1"/>
      <protection hidden="1"/>
    </xf>
    <xf numFmtId="0" fontId="29" fillId="8" borderId="56" xfId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vertical="top"/>
    </xf>
    <xf numFmtId="1" fontId="29" fillId="8" borderId="82" xfId="1" applyNumberFormat="1" applyFont="1" applyFill="1" applyBorder="1" applyAlignment="1" applyProtection="1">
      <alignment horizontal="center" vertical="top" wrapText="1"/>
      <protection hidden="1"/>
    </xf>
    <xf numFmtId="0" fontId="13" fillId="9" borderId="83" xfId="1" applyFont="1" applyFill="1" applyBorder="1" applyAlignment="1" applyProtection="1">
      <alignment horizontal="left" vertical="top" wrapText="1"/>
      <protection hidden="1"/>
    </xf>
    <xf numFmtId="0" fontId="29" fillId="8" borderId="84" xfId="1" applyFont="1" applyFill="1" applyBorder="1" applyAlignment="1" applyProtection="1">
      <alignment vertical="top" wrapText="1"/>
      <protection hidden="1"/>
    </xf>
    <xf numFmtId="0" fontId="29" fillId="8" borderId="84" xfId="1" applyFont="1" applyFill="1" applyBorder="1" applyAlignment="1" applyProtection="1">
      <alignment horizontal="center" vertical="top" wrapText="1"/>
      <protection hidden="1"/>
    </xf>
    <xf numFmtId="0" fontId="13" fillId="8" borderId="84" xfId="1" applyFont="1" applyFill="1" applyBorder="1" applyAlignment="1" applyProtection="1">
      <alignment vertical="top" wrapText="1"/>
      <protection hidden="1"/>
    </xf>
    <xf numFmtId="0" fontId="13" fillId="8" borderId="85" xfId="1" applyFont="1" applyFill="1" applyBorder="1" applyAlignment="1" applyProtection="1">
      <alignment vertical="top" wrapText="1"/>
      <protection hidden="1"/>
    </xf>
    <xf numFmtId="0" fontId="13" fillId="2" borderId="0" xfId="1" applyFont="1" applyFill="1" applyAlignment="1">
      <alignment horizontal="center" vertical="top" wrapText="1"/>
    </xf>
    <xf numFmtId="0" fontId="13" fillId="2" borderId="0" xfId="1" applyFont="1" applyFill="1" applyAlignment="1">
      <alignment horizontal="left" vertical="top" wrapText="1"/>
    </xf>
    <xf numFmtId="0" fontId="34" fillId="2" borderId="0" xfId="1" applyFont="1" applyFill="1" applyAlignment="1">
      <alignment vertical="top" wrapText="1"/>
    </xf>
    <xf numFmtId="3" fontId="0" fillId="0" borderId="0" xfId="0" applyNumberFormat="1" applyBorder="1"/>
    <xf numFmtId="4" fontId="4" fillId="2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3" borderId="91" xfId="0" applyFont="1" applyFill="1" applyBorder="1" applyAlignment="1">
      <alignment horizontal="center" vertical="center"/>
    </xf>
    <xf numFmtId="0" fontId="3" fillId="4" borderId="9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3" fontId="2" fillId="3" borderId="30" xfId="0" applyNumberFormat="1" applyFont="1" applyFill="1" applyBorder="1" applyAlignment="1">
      <alignment vertical="center"/>
    </xf>
    <xf numFmtId="3" fontId="2" fillId="3" borderId="44" xfId="0" applyNumberFormat="1" applyFont="1" applyFill="1" applyBorder="1" applyAlignment="1">
      <alignment vertical="center"/>
    </xf>
    <xf numFmtId="3" fontId="2" fillId="3" borderId="87" xfId="0" applyNumberFormat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2" fillId="4" borderId="87" xfId="0" applyNumberFormat="1" applyFont="1" applyFill="1" applyBorder="1" applyAlignment="1">
      <alignment vertical="center"/>
    </xf>
    <xf numFmtId="3" fontId="3" fillId="4" borderId="44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92" xfId="0" applyNumberFormat="1" applyFont="1" applyFill="1" applyBorder="1" applyAlignment="1">
      <alignment vertical="center"/>
    </xf>
    <xf numFmtId="10" fontId="2" fillId="3" borderId="50" xfId="0" applyNumberFormat="1" applyFont="1" applyFill="1" applyBorder="1" applyAlignment="1">
      <alignment horizontal="center" vertical="center"/>
    </xf>
    <xf numFmtId="10" fontId="2" fillId="3" borderId="51" xfId="0" applyNumberFormat="1" applyFont="1" applyFill="1" applyBorder="1" applyAlignment="1">
      <alignment horizontal="center" vertical="center"/>
    </xf>
    <xf numFmtId="10" fontId="2" fillId="3" borderId="47" xfId="0" applyNumberFormat="1" applyFont="1" applyFill="1" applyBorder="1" applyAlignment="1">
      <alignment horizontal="center" vertical="center"/>
    </xf>
    <xf numFmtId="10" fontId="2" fillId="3" borderId="36" xfId="0" applyNumberFormat="1" applyFont="1" applyFill="1" applyBorder="1" applyAlignment="1">
      <alignment horizontal="center" vertical="center"/>
    </xf>
    <xf numFmtId="10" fontId="2" fillId="4" borderId="47" xfId="0" applyNumberFormat="1" applyFont="1" applyFill="1" applyBorder="1" applyAlignment="1">
      <alignment horizontal="center" vertical="center"/>
    </xf>
    <xf numFmtId="10" fontId="2" fillId="4" borderId="51" xfId="0" applyNumberFormat="1" applyFont="1" applyFill="1" applyBorder="1" applyAlignment="1">
      <alignment horizontal="center" vertical="center"/>
    </xf>
    <xf numFmtId="3" fontId="0" fillId="0" borderId="44" xfId="0" applyNumberFormat="1" applyBorder="1"/>
    <xf numFmtId="3" fontId="0" fillId="0" borderId="9" xfId="0" applyNumberFormat="1" applyBorder="1"/>
    <xf numFmtId="49" fontId="5" fillId="2" borderId="89" xfId="0" quotePrefix="1" applyNumberFormat="1" applyFont="1" applyFill="1" applyBorder="1" applyAlignment="1">
      <alignment horizontal="center" vertical="center"/>
    </xf>
    <xf numFmtId="3" fontId="0" fillId="0" borderId="49" xfId="0" applyNumberFormat="1" applyBorder="1"/>
    <xf numFmtId="0" fontId="5" fillId="2" borderId="37" xfId="0" applyFont="1" applyFill="1" applyBorder="1"/>
    <xf numFmtId="0" fontId="5" fillId="2" borderId="4" xfId="0" applyFont="1" applyFill="1" applyBorder="1"/>
    <xf numFmtId="0" fontId="5" fillId="2" borderId="91" xfId="0" applyFont="1" applyFill="1" applyBorder="1"/>
    <xf numFmtId="3" fontId="5" fillId="0" borderId="87" xfId="0" applyNumberFormat="1" applyFont="1" applyBorder="1"/>
    <xf numFmtId="3" fontId="5" fillId="0" borderId="2" xfId="0" applyNumberFormat="1" applyFont="1" applyBorder="1"/>
    <xf numFmtId="3" fontId="5" fillId="0" borderId="90" xfId="0" applyNumberFormat="1" applyFont="1" applyBorder="1"/>
    <xf numFmtId="3" fontId="5" fillId="0" borderId="30" xfId="0" applyNumberFormat="1" applyFont="1" applyBorder="1"/>
    <xf numFmtId="3" fontId="5" fillId="0" borderId="44" xfId="0" applyNumberFormat="1" applyFont="1" applyBorder="1"/>
    <xf numFmtId="3" fontId="5" fillId="0" borderId="15" xfId="0" applyNumberFormat="1" applyFont="1" applyBorder="1"/>
    <xf numFmtId="3" fontId="5" fillId="0" borderId="9" xfId="0" applyNumberFormat="1" applyFont="1" applyBorder="1"/>
    <xf numFmtId="3" fontId="5" fillId="0" borderId="89" xfId="0" applyNumberFormat="1" applyFont="1" applyBorder="1"/>
    <xf numFmtId="3" fontId="5" fillId="0" borderId="49" xfId="0" applyNumberFormat="1" applyFont="1" applyBorder="1"/>
    <xf numFmtId="3" fontId="5" fillId="0" borderId="91" xfId="0" applyNumberFormat="1" applyFont="1" applyBorder="1"/>
    <xf numFmtId="3" fontId="4" fillId="2" borderId="87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90" xfId="0" applyNumberFormat="1" applyFont="1" applyFill="1" applyBorder="1" applyAlignment="1">
      <alignment vertical="center"/>
    </xf>
    <xf numFmtId="3" fontId="2" fillId="3" borderId="38" xfId="0" applyNumberFormat="1" applyFont="1" applyFill="1" applyBorder="1" applyAlignment="1">
      <alignment vertical="center"/>
    </xf>
    <xf numFmtId="3" fontId="5" fillId="2" borderId="15" xfId="0" applyNumberFormat="1" applyFont="1" applyFill="1" applyBorder="1"/>
    <xf numFmtId="3" fontId="5" fillId="2" borderId="30" xfId="0" applyNumberFormat="1" applyFont="1" applyFill="1" applyBorder="1"/>
    <xf numFmtId="3" fontId="5" fillId="2" borderId="9" xfId="0" applyNumberFormat="1" applyFont="1" applyFill="1" applyBorder="1"/>
    <xf numFmtId="3" fontId="5" fillId="2" borderId="2" xfId="0" applyNumberFormat="1" applyFont="1" applyFill="1" applyBorder="1"/>
    <xf numFmtId="3" fontId="5" fillId="2" borderId="4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30" fillId="7" borderId="64" xfId="1" applyFont="1" applyFill="1" applyBorder="1" applyAlignment="1">
      <alignment horizontal="center" vertical="center" textRotation="45" wrapText="1"/>
    </xf>
    <xf numFmtId="0" fontId="30" fillId="7" borderId="68" xfId="1" applyFont="1" applyFill="1" applyBorder="1" applyAlignment="1">
      <alignment horizontal="center" vertical="center" textRotation="45" wrapText="1"/>
    </xf>
    <xf numFmtId="0" fontId="30" fillId="7" borderId="62" xfId="1" applyFont="1" applyFill="1" applyBorder="1" applyAlignment="1">
      <alignment horizontal="center" vertical="center" textRotation="45" wrapText="1"/>
    </xf>
    <xf numFmtId="0" fontId="30" fillId="7" borderId="67" xfId="1" applyFont="1" applyFill="1" applyBorder="1" applyAlignment="1">
      <alignment horizontal="center" vertical="center" textRotation="45" wrapText="1"/>
    </xf>
    <xf numFmtId="0" fontId="29" fillId="7" borderId="64" xfId="1" applyFont="1" applyFill="1" applyBorder="1" applyAlignment="1">
      <alignment horizontal="center" vertical="center" textRotation="45" wrapText="1"/>
    </xf>
    <xf numFmtId="0" fontId="29" fillId="7" borderId="68" xfId="1" applyFont="1" applyFill="1" applyBorder="1" applyAlignment="1">
      <alignment horizontal="center" vertical="center" textRotation="45" wrapText="1"/>
    </xf>
    <xf numFmtId="0" fontId="30" fillId="7" borderId="63" xfId="1" applyFont="1" applyFill="1" applyBorder="1" applyAlignment="1">
      <alignment horizontal="center" vertical="center" textRotation="45" wrapText="1"/>
    </xf>
    <xf numFmtId="0" fontId="30" fillId="7" borderId="1" xfId="1" applyFont="1" applyFill="1" applyBorder="1" applyAlignment="1">
      <alignment horizontal="center" vertical="center" textRotation="45" wrapText="1"/>
    </xf>
    <xf numFmtId="0" fontId="28" fillId="7" borderId="58" xfId="1" applyFont="1" applyFill="1" applyBorder="1" applyAlignment="1">
      <alignment horizontal="center" vertical="center" wrapText="1"/>
    </xf>
    <xf numFmtId="0" fontId="28" fillId="7" borderId="60" xfId="1" applyFont="1" applyFill="1" applyBorder="1" applyAlignment="1">
      <alignment horizontal="center" vertical="center" wrapText="1"/>
    </xf>
    <xf numFmtId="0" fontId="28" fillId="7" borderId="73" xfId="1" applyFont="1" applyFill="1" applyBorder="1" applyAlignment="1">
      <alignment horizontal="center" vertical="center" wrapText="1"/>
    </xf>
    <xf numFmtId="0" fontId="31" fillId="7" borderId="57" xfId="1" applyFont="1" applyFill="1" applyBorder="1" applyAlignment="1">
      <alignment horizontal="center" vertical="center" wrapText="1"/>
    </xf>
    <xf numFmtId="0" fontId="31" fillId="7" borderId="65" xfId="1" applyFont="1" applyFill="1" applyBorder="1" applyAlignment="1">
      <alignment horizontal="center" vertical="center" wrapText="1"/>
    </xf>
    <xf numFmtId="0" fontId="17" fillId="7" borderId="56" xfId="1" applyFont="1" applyFill="1" applyBorder="1" applyAlignment="1">
      <alignment horizontal="center" vertical="center" wrapText="1"/>
    </xf>
    <xf numFmtId="0" fontId="17" fillId="7" borderId="54" xfId="1" applyFont="1" applyFill="1" applyBorder="1" applyAlignment="1">
      <alignment horizontal="center" vertical="center" wrapText="1"/>
    </xf>
    <xf numFmtId="0" fontId="17" fillId="7" borderId="69" xfId="1" applyFont="1" applyFill="1" applyBorder="1" applyAlignment="1">
      <alignment horizontal="center" vertical="center" wrapText="1"/>
    </xf>
    <xf numFmtId="0" fontId="17" fillId="7" borderId="57" xfId="1" applyFont="1" applyFill="1" applyBorder="1" applyAlignment="1">
      <alignment horizontal="center" vertical="center" wrapText="1"/>
    </xf>
    <xf numFmtId="0" fontId="17" fillId="7" borderId="65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top" wrapText="1"/>
    </xf>
    <xf numFmtId="0" fontId="20" fillId="2" borderId="54" xfId="1" applyFont="1" applyFill="1" applyBorder="1" applyAlignment="1">
      <alignment horizontal="left" vertical="top" wrapText="1"/>
    </xf>
    <xf numFmtId="0" fontId="25" fillId="2" borderId="0" xfId="1" applyFont="1" applyFill="1" applyAlignment="1">
      <alignment horizontal="left" wrapText="1"/>
    </xf>
    <xf numFmtId="0" fontId="25" fillId="2" borderId="57" xfId="1" applyFont="1" applyFill="1" applyBorder="1" applyAlignment="1">
      <alignment horizontal="left" vertical="top" wrapText="1"/>
    </xf>
    <xf numFmtId="0" fontId="25" fillId="2" borderId="0" xfId="1" applyFont="1" applyFill="1" applyAlignment="1">
      <alignment horizontal="left" vertical="top" wrapText="1"/>
    </xf>
    <xf numFmtId="0" fontId="27" fillId="7" borderId="55" xfId="1" applyFont="1" applyFill="1" applyBorder="1" applyAlignment="1" applyProtection="1">
      <alignment horizontal="center" vertical="center" wrapText="1"/>
      <protection hidden="1"/>
    </xf>
    <xf numFmtId="0" fontId="27" fillId="7" borderId="59" xfId="1" applyFont="1" applyFill="1" applyBorder="1" applyAlignment="1" applyProtection="1">
      <alignment horizontal="center" vertical="center" wrapText="1"/>
      <protection hidden="1"/>
    </xf>
    <xf numFmtId="0" fontId="28" fillId="7" borderId="61" xfId="1" applyFont="1" applyFill="1" applyBorder="1" applyAlignment="1">
      <alignment horizontal="center" vertical="center" wrapText="1"/>
    </xf>
    <xf numFmtId="0" fontId="28" fillId="7" borderId="66" xfId="1" applyFont="1" applyFill="1" applyBorder="1" applyAlignment="1">
      <alignment horizontal="center" vertical="center" wrapText="1"/>
    </xf>
    <xf numFmtId="0" fontId="27" fillId="7" borderId="61" xfId="1" applyFont="1" applyFill="1" applyBorder="1" applyAlignment="1">
      <alignment horizontal="center" vertical="center" wrapText="1"/>
    </xf>
    <xf numFmtId="0" fontId="27" fillId="7" borderId="66" xfId="1" applyFont="1" applyFill="1" applyBorder="1" applyAlignment="1">
      <alignment horizontal="center" vertical="center" wrapText="1"/>
    </xf>
    <xf numFmtId="0" fontId="29" fillId="7" borderId="62" xfId="1" applyFont="1" applyFill="1" applyBorder="1" applyAlignment="1">
      <alignment horizontal="center" vertical="center" textRotation="45" wrapText="1"/>
    </xf>
    <xf numFmtId="0" fontId="29" fillId="7" borderId="67" xfId="1" applyFont="1" applyFill="1" applyBorder="1" applyAlignment="1">
      <alignment horizontal="center" vertical="center" textRotation="45" wrapText="1"/>
    </xf>
    <xf numFmtId="0" fontId="29" fillId="7" borderId="63" xfId="1" applyFont="1" applyFill="1" applyBorder="1" applyAlignment="1">
      <alignment horizontal="center" vertical="center" textRotation="45" wrapText="1"/>
    </xf>
    <xf numFmtId="0" fontId="29" fillId="7" borderId="1" xfId="1" applyFont="1" applyFill="1" applyBorder="1" applyAlignment="1">
      <alignment horizontal="center" vertical="center" textRotation="45" wrapText="1"/>
    </xf>
    <xf numFmtId="4" fontId="4" fillId="2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3" fontId="2" fillId="3" borderId="89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90" xfId="0" applyNumberFormat="1" applyFont="1" applyFill="1" applyBorder="1" applyAlignment="1">
      <alignment horizontal="center" vertical="center"/>
    </xf>
    <xf numFmtId="3" fontId="2" fillId="3" borderId="9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4" borderId="90" xfId="0" applyNumberFormat="1" applyFont="1" applyFill="1" applyBorder="1" applyAlignment="1">
      <alignment horizontal="center" vertical="center"/>
    </xf>
    <xf numFmtId="3" fontId="2" fillId="4" borderId="49" xfId="0" applyNumberFormat="1" applyFont="1" applyFill="1" applyBorder="1" applyAlignment="1">
      <alignment horizontal="center" vertical="center"/>
    </xf>
    <xf numFmtId="0" fontId="3" fillId="4" borderId="8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18" fillId="8" borderId="63" xfId="1" applyFont="1" applyFill="1" applyBorder="1" applyAlignment="1" applyProtection="1">
      <alignment horizontal="center" vertical="top" wrapText="1"/>
      <protection hidden="1"/>
    </xf>
    <xf numFmtId="0" fontId="18" fillId="8" borderId="1" xfId="1" applyFont="1" applyFill="1" applyBorder="1" applyAlignment="1" applyProtection="1">
      <alignment horizontal="center" vertical="top" wrapText="1"/>
      <protection hidden="1"/>
    </xf>
    <xf numFmtId="1" fontId="18" fillId="8" borderId="71" xfId="1" applyNumberFormat="1" applyFont="1" applyFill="1" applyBorder="1" applyAlignment="1" applyProtection="1">
      <alignment horizontal="center" vertical="top" wrapText="1"/>
      <protection hidden="1"/>
    </xf>
    <xf numFmtId="0" fontId="29" fillId="2" borderId="56" xfId="1" applyFont="1" applyFill="1" applyBorder="1" applyAlignment="1">
      <alignment horizontal="left" vertical="top" wrapText="1"/>
    </xf>
    <xf numFmtId="0" fontId="29" fillId="7" borderId="93" xfId="1" applyFont="1" applyFill="1" applyBorder="1" applyAlignment="1">
      <alignment horizontal="center" vertical="center" textRotation="45" wrapText="1"/>
    </xf>
    <xf numFmtId="0" fontId="29" fillId="7" borderId="33" xfId="1" applyFont="1" applyFill="1" applyBorder="1" applyAlignment="1">
      <alignment horizontal="center" vertical="center" textRotation="45" wrapText="1"/>
    </xf>
    <xf numFmtId="0" fontId="29" fillId="7" borderId="79" xfId="1" applyFont="1" applyFill="1" applyBorder="1" applyAlignment="1">
      <alignment horizontal="center" vertical="center" textRotation="45" wrapText="1"/>
    </xf>
    <xf numFmtId="0" fontId="30" fillId="7" borderId="93" xfId="1" applyFont="1" applyFill="1" applyBorder="1" applyAlignment="1">
      <alignment horizontal="center" vertical="center" textRotation="45" wrapText="1"/>
    </xf>
    <xf numFmtId="0" fontId="30" fillId="7" borderId="33" xfId="1" applyFont="1" applyFill="1" applyBorder="1" applyAlignment="1">
      <alignment horizontal="center" vertical="center" textRotation="45" wrapText="1"/>
    </xf>
    <xf numFmtId="0" fontId="30" fillId="7" borderId="79" xfId="1" applyFont="1" applyFill="1" applyBorder="1" applyAlignment="1">
      <alignment horizontal="center" vertical="center" textRotation="45" wrapText="1"/>
    </xf>
    <xf numFmtId="0" fontId="17" fillId="8" borderId="77" xfId="1" applyFont="1" applyFill="1" applyBorder="1" applyAlignment="1">
      <alignment vertical="top" wrapText="1"/>
    </xf>
    <xf numFmtId="0" fontId="17" fillId="8" borderId="78" xfId="1" applyFont="1" applyFill="1" applyBorder="1" applyAlignment="1">
      <alignment horizontal="center" vertical="center" wrapText="1"/>
    </xf>
    <xf numFmtId="0" fontId="32" fillId="8" borderId="63" xfId="1" applyFont="1" applyFill="1" applyBorder="1" applyAlignment="1" applyProtection="1">
      <alignment vertical="center" wrapText="1"/>
      <protection hidden="1"/>
    </xf>
    <xf numFmtId="0" fontId="32" fillId="8" borderId="64" xfId="1" applyFont="1" applyFill="1" applyBorder="1" applyAlignment="1" applyProtection="1">
      <alignment vertical="center" wrapText="1"/>
      <protection hidden="1"/>
    </xf>
    <xf numFmtId="0" fontId="17" fillId="8" borderId="76" xfId="1" applyFont="1" applyFill="1" applyBorder="1" applyAlignment="1">
      <alignment vertical="top" wrapText="1"/>
    </xf>
    <xf numFmtId="0" fontId="17" fillId="8" borderId="2" xfId="1" applyFont="1" applyFill="1" applyBorder="1" applyAlignment="1">
      <alignment horizontal="center" vertical="center" wrapText="1"/>
    </xf>
    <xf numFmtId="0" fontId="32" fillId="8" borderId="1" xfId="1" applyFont="1" applyFill="1" applyBorder="1" applyAlignment="1" applyProtection="1">
      <alignment vertical="center" wrapText="1"/>
      <protection hidden="1"/>
    </xf>
    <xf numFmtId="0" fontId="33" fillId="8" borderId="1" xfId="1" applyFont="1" applyFill="1" applyBorder="1" applyAlignment="1" applyProtection="1">
      <alignment vertical="top" wrapText="1"/>
      <protection hidden="1"/>
    </xf>
    <xf numFmtId="0" fontId="35" fillId="0" borderId="1" xfId="0" applyFont="1" applyBorder="1"/>
    <xf numFmtId="0" fontId="32" fillId="8" borderId="68" xfId="1" applyFont="1" applyFill="1" applyBorder="1" applyAlignment="1" applyProtection="1">
      <alignment vertical="center" wrapText="1"/>
      <protection hidden="1"/>
    </xf>
    <xf numFmtId="0" fontId="32" fillId="8" borderId="1" xfId="1" applyFont="1" applyFill="1" applyBorder="1" applyAlignment="1" applyProtection="1">
      <alignment vertical="top" wrapText="1"/>
      <protection hidden="1"/>
    </xf>
    <xf numFmtId="0" fontId="32" fillId="8" borderId="68" xfId="1" applyFont="1" applyFill="1" applyBorder="1" applyAlignment="1" applyProtection="1">
      <alignment vertical="top" wrapText="1"/>
      <protection hidden="1"/>
    </xf>
    <xf numFmtId="0" fontId="17" fillId="8" borderId="80" xfId="1" applyFont="1" applyFill="1" applyBorder="1" applyAlignment="1">
      <alignment vertical="top" wrapText="1"/>
    </xf>
    <xf numFmtId="0" fontId="17" fillId="8" borderId="81" xfId="1" applyFont="1" applyFill="1" applyBorder="1" applyAlignment="1">
      <alignment horizontal="center" vertical="top" wrapText="1"/>
    </xf>
    <xf numFmtId="1" fontId="32" fillId="8" borderId="71" xfId="1" applyNumberFormat="1" applyFont="1" applyFill="1" applyBorder="1" applyAlignment="1" applyProtection="1">
      <alignment horizontal="center" vertical="top" wrapText="1"/>
      <protection hidden="1"/>
    </xf>
    <xf numFmtId="1" fontId="32" fillId="8" borderId="72" xfId="1" applyNumberFormat="1" applyFont="1" applyFill="1" applyBorder="1" applyAlignment="1" applyProtection="1">
      <alignment horizontal="right" vertical="top" wrapText="1"/>
      <protection hidden="1"/>
    </xf>
    <xf numFmtId="0" fontId="10" fillId="0" borderId="0" xfId="0" applyFont="1" applyFill="1" applyAlignment="1">
      <alignment horizontal="center"/>
    </xf>
    <xf numFmtId="0" fontId="0" fillId="0" borderId="0" xfId="0" applyFill="1"/>
    <xf numFmtId="0" fontId="10" fillId="0" borderId="0" xfId="0" applyFont="1" applyFill="1"/>
    <xf numFmtId="0" fontId="11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 wrapText="1"/>
    </xf>
    <xf numFmtId="0" fontId="36" fillId="0" borderId="48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3" fontId="11" fillId="0" borderId="20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wrapText="1"/>
    </xf>
    <xf numFmtId="3" fontId="11" fillId="0" borderId="15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9" fillId="0" borderId="86" xfId="0" applyFont="1" applyFill="1" applyBorder="1" applyAlignment="1">
      <alignment horizontal="left" vertical="center"/>
    </xf>
    <xf numFmtId="3" fontId="9" fillId="0" borderId="86" xfId="0" applyNumberFormat="1" applyFont="1" applyFill="1" applyBorder="1" applyAlignment="1">
      <alignment vertical="center"/>
    </xf>
    <xf numFmtId="3" fontId="9" fillId="0" borderId="86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ill="1"/>
    <xf numFmtId="0" fontId="0" fillId="0" borderId="0" xfId="0" applyFill="1" applyBorder="1"/>
    <xf numFmtId="49" fontId="6" fillId="0" borderId="0" xfId="0" applyNumberFormat="1" applyFont="1" applyFill="1"/>
    <xf numFmtId="4" fontId="6" fillId="0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Border="1"/>
  </cellXfs>
  <cellStyles count="82">
    <cellStyle name="Millares 2" xfId="5" xr:uid="{A32521A8-4BD8-45C5-A455-9D7D8E06CD2D}"/>
    <cellStyle name="Millares 2 2" xfId="8" xr:uid="{6D08450F-A50D-4D0D-96B1-170BB5295DD5}"/>
    <cellStyle name="Millares 2 2 10" xfId="45" xr:uid="{2D2E62BB-E10A-4A8C-B259-0F195FAB9A79}"/>
    <cellStyle name="Millares 2 2 2" xfId="15" xr:uid="{55CEB4E0-D12C-4F0F-BC69-596E1008BB21}"/>
    <cellStyle name="Millares 2 2 2 2" xfId="31" xr:uid="{96876ACB-5445-486C-AEC1-44215A062C4C}"/>
    <cellStyle name="Millares 2 2 2 2 2" xfId="63" xr:uid="{2A8012AC-C8CD-49A9-AE13-6CF00E51972C}"/>
    <cellStyle name="Millares 2 2 2 3" xfId="78" xr:uid="{A1CC8041-8A86-49CA-9F46-17988B61EE18}"/>
    <cellStyle name="Millares 2 2 2 4" xfId="46" xr:uid="{33127A51-76AC-4D0C-A063-045D4C1EBDDD}"/>
    <cellStyle name="Millares 2 2 3" xfId="17" xr:uid="{11DB9105-409F-4E49-91C8-FC69CB03618B}"/>
    <cellStyle name="Millares 2 2 3 2" xfId="33" xr:uid="{9D07DB9D-A8BA-4C37-84C8-630EF582B8C5}"/>
    <cellStyle name="Millares 2 2 3 2 2" xfId="65" xr:uid="{9833D8B9-3C72-4866-87F4-CE8394AA2A01}"/>
    <cellStyle name="Millares 2 2 3 3" xfId="80" xr:uid="{1753B0A5-688D-44E1-9FCE-AA90648A8C31}"/>
    <cellStyle name="Millares 2 2 3 4" xfId="48" xr:uid="{CC4DFAF8-8F68-4058-9603-058F3B41F6D4}"/>
    <cellStyle name="Millares 2 2 4" xfId="20" xr:uid="{FC903D7B-C00B-46A9-9273-E3794F361423}"/>
    <cellStyle name="Millares 2 2 4 2" xfId="36" xr:uid="{0F205F59-3487-49F8-B96A-B6180F5DB327}"/>
    <cellStyle name="Millares 2 2 4 2 2" xfId="68" xr:uid="{A0BBC036-3A9E-4E49-9604-0CD42C9383C1}"/>
    <cellStyle name="Millares 2 2 4 3" xfId="81" xr:uid="{2257EC0F-276B-40E5-BAC1-E53425ECBD62}"/>
    <cellStyle name="Millares 2 2 4 4" xfId="49" xr:uid="{795C7E9C-003E-4DD4-A359-D0341AB58B88}"/>
    <cellStyle name="Millares 2 2 5" xfId="24" xr:uid="{F342BA9A-A1AF-47A7-91E9-8859FD488FC7}"/>
    <cellStyle name="Millares 2 2 5 2" xfId="40" xr:uid="{74FC9E82-54A4-4A23-9242-B07FF079B4AF}"/>
    <cellStyle name="Millares 2 2 5 2 2" xfId="72" xr:uid="{7738EC9B-15CC-4B25-A73C-082DF3EFDAE4}"/>
    <cellStyle name="Millares 2 2 5 3" xfId="56" xr:uid="{0A905F55-FE87-4482-8B98-D44CDC3E29C4}"/>
    <cellStyle name="Millares 2 2 6" xfId="26" xr:uid="{CC45BC30-936E-4117-868B-0CA217AD2AA7}"/>
    <cellStyle name="Millares 2 2 6 2" xfId="58" xr:uid="{40226A46-90B4-46BA-AF67-28D3F7C44737}"/>
    <cellStyle name="Millares 2 2 7" xfId="29" xr:uid="{A2D2F262-A904-499A-A8F3-5379BBE2F6A5}"/>
    <cellStyle name="Millares 2 2 7 2" xfId="61" xr:uid="{2361D548-1C3A-4B3F-BBE3-7C8F57731207}"/>
    <cellStyle name="Millares 2 2 8" xfId="42" xr:uid="{C8F14746-7D75-4912-81EF-4325D21410C2}"/>
    <cellStyle name="Millares 2 2 8 2" xfId="74" xr:uid="{D2272561-8CE9-4DC0-A62B-F855724EEC11}"/>
    <cellStyle name="Millares 2 2 9" xfId="77" xr:uid="{5003BC7C-09F4-4B2F-90E7-3D9F8E932F51}"/>
    <cellStyle name="Millares 3" xfId="14" xr:uid="{6D15DEB3-06AB-4E0C-A156-588E4181FF1C}"/>
    <cellStyle name="Millares 3 2" xfId="30" xr:uid="{AF7B4CAD-F4EC-4CF1-9C24-31571A8585AF}"/>
    <cellStyle name="Millares 3 2 2" xfId="62" xr:uid="{2E1AF4D9-0404-40D8-B13F-F38F47CCABD3}"/>
    <cellStyle name="Millares 3 3" xfId="50" xr:uid="{CB578857-020C-40BE-815A-6BDD1A28D1CF}"/>
    <cellStyle name="Millares 4" xfId="18" xr:uid="{6C587A51-0F57-4C75-BFFA-F89186EDDF44}"/>
    <cellStyle name="Millares 4 2" xfId="34" xr:uid="{22881E74-F62C-4C44-80C4-AF9AE7EDEF62}"/>
    <cellStyle name="Millares 4 2 2" xfId="66" xr:uid="{633AE94B-217C-48AD-88C0-A9B2C0E61617}"/>
    <cellStyle name="Millares 4 3" xfId="51" xr:uid="{1CE36023-A65B-4D10-AAB4-4865AAD0F4A8}"/>
    <cellStyle name="Millares 5" xfId="21" xr:uid="{512E10B6-C18E-49BD-A12F-3762E3F632A6}"/>
    <cellStyle name="Millares 5 2" xfId="37" xr:uid="{F0677FF8-EBCA-4385-BE57-16319C5C9403}"/>
    <cellStyle name="Millares 5 2 2" xfId="69" xr:uid="{859BF981-E392-402D-92EF-204B64D73490}"/>
    <cellStyle name="Millares 5 3" xfId="53" xr:uid="{E5B5E38A-DF67-443B-B939-C8EF75234492}"/>
    <cellStyle name="Millares 6" xfId="23" xr:uid="{FD567C45-1E90-4B10-9638-8B24B2160E18}"/>
    <cellStyle name="Millares 6 2" xfId="39" xr:uid="{3D711CF2-C8CE-450C-9D13-FABCF3C8595E}"/>
    <cellStyle name="Millares 6 2 2" xfId="71" xr:uid="{EBEF5261-F9FE-43FF-9566-5DCCF96E6F38}"/>
    <cellStyle name="Millares 6 3" xfId="55" xr:uid="{2B6A6C92-5CAC-4AED-A9F5-B37EF11281DB}"/>
    <cellStyle name="Millares 7" xfId="27" xr:uid="{6CF322AF-C144-413E-95C2-02CE8A9399FF}"/>
    <cellStyle name="Millares 7 2" xfId="59" xr:uid="{F09C25A5-94A3-46C1-80B3-84E86C718A5E}"/>
    <cellStyle name="Millares 8" xfId="43" xr:uid="{5E6244B5-719A-47D8-84AF-558E2A19AD6C}"/>
    <cellStyle name="Millares 8 2" xfId="75" xr:uid="{55B96738-9935-4A20-B41C-87937D13BA51}"/>
    <cellStyle name="Moneda 2" xfId="16" xr:uid="{E9F2371E-FCE8-49C2-9E9A-D818C5E5ED7E}"/>
    <cellStyle name="Moneda 2 2" xfId="32" xr:uid="{FE445C39-9DFE-42E4-B0CD-E655E8738CD9}"/>
    <cellStyle name="Moneda 2 2 2" xfId="64" xr:uid="{92C6D7FF-6C4E-48CC-80AF-A39D66B4F799}"/>
    <cellStyle name="Moneda 2 3" xfId="79" xr:uid="{5D75BBC5-F6A0-4ED2-8D1C-08B92B8BB1D5}"/>
    <cellStyle name="Moneda 2 4" xfId="47" xr:uid="{A4DA7601-CCF9-4AE8-9832-8CE075CFCB80}"/>
    <cellStyle name="Moneda 3" xfId="19" xr:uid="{51A8F847-D552-496F-8494-AC54ED1EC125}"/>
    <cellStyle name="Moneda 3 2" xfId="35" xr:uid="{FE84B6E5-7997-40CC-A0E3-B5DF6E984196}"/>
    <cellStyle name="Moneda 3 2 2" xfId="67" xr:uid="{A3F7D34A-A489-45E7-B7F4-6D1C6FA70C86}"/>
    <cellStyle name="Moneda 3 3" xfId="52" xr:uid="{D4ABE3A0-361B-4C21-9C4D-75A79BAF4D5E}"/>
    <cellStyle name="Moneda 4" xfId="22" xr:uid="{5CF93EE1-3FCC-49A4-A689-31CE3D3658CA}"/>
    <cellStyle name="Moneda 4 2" xfId="38" xr:uid="{D0936EB2-C3A4-44B6-821D-5FBE17C2A534}"/>
    <cellStyle name="Moneda 4 2 2" xfId="70" xr:uid="{2E29EE8B-318D-4080-842E-720F8046A9A7}"/>
    <cellStyle name="Moneda 4 3" xfId="54" xr:uid="{DBEB29C9-E34C-4145-886F-977438BB7B55}"/>
    <cellStyle name="Moneda 5" xfId="25" xr:uid="{991B3BF8-48A5-4C75-A46E-C08C5FD520A4}"/>
    <cellStyle name="Moneda 5 2" xfId="41" xr:uid="{257388F3-B2B4-4BE4-BDEE-1282F76CBE93}"/>
    <cellStyle name="Moneda 5 2 2" xfId="73" xr:uid="{B53CE569-954B-49A5-8723-F45B0D0405E7}"/>
    <cellStyle name="Moneda 5 3" xfId="57" xr:uid="{A5C57C82-D694-4B8F-AAF5-67AFDEAF0A79}"/>
    <cellStyle name="Moneda 6" xfId="28" xr:uid="{07B57509-00BF-4883-964A-957BE787DC4C}"/>
    <cellStyle name="Moneda 6 2" xfId="60" xr:uid="{B07E7C6C-A8B7-4943-A334-36CE04AE911D}"/>
    <cellStyle name="Moneda 7" xfId="44" xr:uid="{83E581FD-94D5-4595-9BA4-D71762C31201}"/>
    <cellStyle name="Moneda 7 2" xfId="76" xr:uid="{F02883C9-CB3A-4357-B905-A591CD0DF54A}"/>
    <cellStyle name="Normal" xfId="0" builtinId="0"/>
    <cellStyle name="Normal 10" xfId="10" xr:uid="{1035599D-D2AF-4302-A43D-6EDA86854C92}"/>
    <cellStyle name="Normal 12" xfId="7" xr:uid="{4F56239D-CC91-441E-9D38-520F0BE244A4}"/>
    <cellStyle name="Normal 13" xfId="9" xr:uid="{95CD42FC-36C6-412F-BAA2-B02F96EA6448}"/>
    <cellStyle name="Normal 14" xfId="6" xr:uid="{2C5DD541-5960-445A-8656-F17AC6AF1320}"/>
    <cellStyle name="Normal 2" xfId="2" xr:uid="{CF96E37B-4230-4E38-8E65-F0F0907BF8F5}"/>
    <cellStyle name="Normal 2 2" xfId="1" xr:uid="{54A04D45-BAEA-4459-903D-16AB95DDC8F9}"/>
    <cellStyle name="Normal 3" xfId="3" xr:uid="{D717643D-7C0B-465A-B219-22ABADA40E82}"/>
    <cellStyle name="Normal 4" xfId="4" xr:uid="{09C12238-90CE-4D8B-A9F8-D8E8DE8879ED}"/>
    <cellStyle name="Normal 6" xfId="12" xr:uid="{44206C07-E895-4364-A802-CD769D1620B0}"/>
    <cellStyle name="Normal 8" xfId="11" xr:uid="{949565DB-F63A-4F81-B5FE-CE59D64609F9}"/>
    <cellStyle name="Normal 95" xfId="13" xr:uid="{6ACC6232-D2A3-4B58-986E-A8E04A83E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1</xdr:row>
      <xdr:rowOff>83736</xdr:rowOff>
    </xdr:from>
    <xdr:to>
      <xdr:col>2</xdr:col>
      <xdr:colOff>738187</xdr:colOff>
      <xdr:row>5</xdr:row>
      <xdr:rowOff>59531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05191162-245C-456F-BEE4-4A131CDE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86142"/>
          <a:ext cx="2059781" cy="7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133350</xdr:rowOff>
    </xdr:from>
    <xdr:to>
      <xdr:col>1</xdr:col>
      <xdr:colOff>2333624</xdr:colOff>
      <xdr:row>6</xdr:row>
      <xdr:rowOff>38101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BE1DB3B7-9D1D-4DAF-90C4-26BE50834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23850"/>
          <a:ext cx="2324099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</xdr:rowOff>
    </xdr:from>
    <xdr:to>
      <xdr:col>1</xdr:col>
      <xdr:colOff>1924050</xdr:colOff>
      <xdr:row>6</xdr:row>
      <xdr:rowOff>133351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F3DE0CD0-4A6E-461C-82E9-234CAD6BC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1"/>
          <a:ext cx="219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26</xdr:row>
      <xdr:rowOff>47626</xdr:rowOff>
    </xdr:from>
    <xdr:to>
      <xdr:col>1</xdr:col>
      <xdr:colOff>1971675</xdr:colOff>
      <xdr:row>30</xdr:row>
      <xdr:rowOff>180976</xdr:rowOff>
    </xdr:to>
    <xdr:pic>
      <xdr:nvPicPr>
        <xdr:cNvPr id="3" name="2 Imagen" descr="Área_FINANCIERO_CONTABLE">
          <a:extLst>
            <a:ext uri="{FF2B5EF4-FFF2-40B4-BE49-F238E27FC236}">
              <a16:creationId xmlns:a16="http://schemas.microsoft.com/office/drawing/2014/main" id="{5CB1BAD5-F4DA-4F0E-BF8B-52385B1E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43501"/>
          <a:ext cx="219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37B5-A4F7-2746-A89D-900C3A8A3B1A}">
  <dimension ref="A1:XEO610"/>
  <sheetViews>
    <sheetView topLeftCell="B1" workbookViewId="0">
      <selection activeCell="I17" sqref="I17"/>
    </sheetView>
  </sheetViews>
  <sheetFormatPr baseColWidth="10" defaultColWidth="11.5" defaultRowHeight="16" x14ac:dyDescent="0.2"/>
  <cols>
    <col min="1" max="1" width="30.83203125" style="59" hidden="1" customWidth="1"/>
    <col min="2" max="2" width="68.83203125" style="61" customWidth="1"/>
    <col min="3" max="3" width="17.5" style="118" customWidth="1"/>
    <col min="4" max="9" width="8.83203125" style="118" customWidth="1"/>
    <col min="10" max="15" width="9" style="118" hidden="1" customWidth="1"/>
    <col min="16" max="16" width="10.5" style="59" customWidth="1"/>
    <col min="17" max="17" width="26.5" style="119" hidden="1" customWidth="1"/>
    <col min="18" max="18" width="33" style="120" hidden="1" customWidth="1"/>
    <col min="19" max="19" width="10.6640625" style="119" hidden="1" customWidth="1"/>
    <col min="20" max="20" width="11.1640625" style="119" hidden="1" customWidth="1"/>
    <col min="21" max="22" width="26.83203125" style="59" hidden="1" customWidth="1"/>
    <col min="23" max="24" width="26.83203125" style="59" customWidth="1"/>
    <col min="25" max="16384" width="11.5" style="59"/>
  </cols>
  <sheetData>
    <row r="1" spans="1:16369" s="60" customFormat="1" ht="18" customHeight="1" x14ac:dyDescent="0.2">
      <c r="B1" s="189" t="s">
        <v>194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16369" s="60" customFormat="1" ht="18" customHeight="1" thickBot="1" x14ac:dyDescent="0.25">
      <c r="A2" s="74"/>
      <c r="B2" s="75" t="s">
        <v>148</v>
      </c>
      <c r="C2" s="190" t="s">
        <v>149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74"/>
      <c r="Q2" s="76"/>
      <c r="R2" s="77"/>
      <c r="S2" s="78"/>
      <c r="T2" s="78"/>
    </row>
    <row r="3" spans="1:16369" s="61" customFormat="1" ht="18" customHeight="1" thickBot="1" x14ac:dyDescent="0.25">
      <c r="A3" s="79"/>
      <c r="B3" s="80" t="s">
        <v>150</v>
      </c>
      <c r="C3" s="191" t="s">
        <v>151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79"/>
      <c r="Q3" s="76"/>
      <c r="R3" s="81"/>
      <c r="S3" s="82"/>
      <c r="T3" s="82"/>
    </row>
    <row r="4" spans="1:16369" s="61" customFormat="1" ht="18" customHeight="1" thickBot="1" x14ac:dyDescent="0.25">
      <c r="A4" s="83"/>
      <c r="B4" s="236" t="s">
        <v>195</v>
      </c>
      <c r="C4" s="192" t="s">
        <v>152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84"/>
      <c r="Q4" s="85"/>
      <c r="R4" s="86"/>
      <c r="S4" s="87"/>
      <c r="T4" s="87"/>
      <c r="U4" s="88"/>
      <c r="V4" s="89"/>
    </row>
    <row r="5" spans="1:16369" s="61" customFormat="1" ht="18" customHeight="1" thickBot="1" x14ac:dyDescent="0.25">
      <c r="A5" s="90"/>
      <c r="B5" s="80" t="s">
        <v>153</v>
      </c>
      <c r="C5" s="193">
        <v>2021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79"/>
      <c r="Q5" s="76"/>
      <c r="R5" s="81"/>
      <c r="S5" s="82"/>
      <c r="T5" s="82"/>
      <c r="V5" s="91"/>
    </row>
    <row r="6" spans="1:16369" s="62" customFormat="1" ht="18" customHeight="1" thickBot="1" x14ac:dyDescent="0.25">
      <c r="A6" s="194" t="s">
        <v>154</v>
      </c>
      <c r="B6" s="196" t="s">
        <v>155</v>
      </c>
      <c r="C6" s="198" t="s">
        <v>156</v>
      </c>
      <c r="D6" s="200" t="s">
        <v>142</v>
      </c>
      <c r="E6" s="202" t="s">
        <v>143</v>
      </c>
      <c r="F6" s="175" t="s">
        <v>144</v>
      </c>
      <c r="G6" s="173" t="s">
        <v>157</v>
      </c>
      <c r="H6" s="177" t="s">
        <v>158</v>
      </c>
      <c r="I6" s="171" t="s">
        <v>159</v>
      </c>
      <c r="J6" s="173" t="s">
        <v>160</v>
      </c>
      <c r="K6" s="177" t="s">
        <v>161</v>
      </c>
      <c r="L6" s="171" t="s">
        <v>162</v>
      </c>
      <c r="M6" s="173" t="s">
        <v>163</v>
      </c>
      <c r="N6" s="177" t="s">
        <v>164</v>
      </c>
      <c r="O6" s="171" t="s">
        <v>165</v>
      </c>
      <c r="P6" s="179" t="s">
        <v>166</v>
      </c>
      <c r="Q6" s="182" t="s">
        <v>167</v>
      </c>
      <c r="R6" s="182"/>
      <c r="S6" s="182"/>
      <c r="T6" s="182"/>
      <c r="U6" s="182"/>
      <c r="V6" s="183"/>
    </row>
    <row r="7" spans="1:16369" s="62" customFormat="1" ht="18" customHeight="1" thickBot="1" x14ac:dyDescent="0.25">
      <c r="A7" s="195"/>
      <c r="B7" s="197"/>
      <c r="C7" s="199"/>
      <c r="D7" s="201"/>
      <c r="E7" s="203"/>
      <c r="F7" s="176"/>
      <c r="G7" s="174"/>
      <c r="H7" s="178"/>
      <c r="I7" s="172"/>
      <c r="J7" s="174"/>
      <c r="K7" s="178"/>
      <c r="L7" s="172"/>
      <c r="M7" s="174"/>
      <c r="N7" s="178"/>
      <c r="O7" s="172"/>
      <c r="P7" s="180"/>
      <c r="Q7" s="179" t="s">
        <v>168</v>
      </c>
      <c r="R7" s="184" t="s">
        <v>169</v>
      </c>
      <c r="S7" s="186" t="s">
        <v>170</v>
      </c>
      <c r="T7" s="187"/>
      <c r="U7" s="186" t="s">
        <v>171</v>
      </c>
      <c r="V7" s="188"/>
    </row>
    <row r="8" spans="1:16369" s="62" customFormat="1" ht="18" customHeight="1" thickBot="1" x14ac:dyDescent="0.25">
      <c r="A8" s="195"/>
      <c r="B8" s="197"/>
      <c r="C8" s="199"/>
      <c r="D8" s="237"/>
      <c r="E8" s="238"/>
      <c r="F8" s="239"/>
      <c r="G8" s="240"/>
      <c r="H8" s="241"/>
      <c r="I8" s="242"/>
      <c r="J8" s="240"/>
      <c r="K8" s="241"/>
      <c r="L8" s="242"/>
      <c r="M8" s="240"/>
      <c r="N8" s="241"/>
      <c r="O8" s="242"/>
      <c r="P8" s="180"/>
      <c r="Q8" s="181"/>
      <c r="R8" s="185"/>
      <c r="S8" s="92" t="s">
        <v>172</v>
      </c>
      <c r="T8" s="93" t="s">
        <v>173</v>
      </c>
      <c r="U8" s="94" t="s">
        <v>174</v>
      </c>
      <c r="V8" s="94" t="s">
        <v>175</v>
      </c>
    </row>
    <row r="9" spans="1:16369" s="62" customFormat="1" ht="18" customHeight="1" thickBot="1" x14ac:dyDescent="0.25">
      <c r="A9" s="95"/>
      <c r="B9" s="243" t="s">
        <v>176</v>
      </c>
      <c r="C9" s="244" t="s">
        <v>177</v>
      </c>
      <c r="D9" s="233">
        <v>1139</v>
      </c>
      <c r="E9" s="233">
        <v>1098</v>
      </c>
      <c r="F9" s="233">
        <v>994</v>
      </c>
      <c r="G9" s="233">
        <v>1127</v>
      </c>
      <c r="H9" s="233">
        <v>1221</v>
      </c>
      <c r="I9" s="233">
        <v>1912</v>
      </c>
      <c r="J9" s="245" t="e">
        <f>SUM(#REF!)</f>
        <v>#REF!</v>
      </c>
      <c r="K9" s="245" t="e">
        <f>SUM(#REF!)</f>
        <v>#REF!</v>
      </c>
      <c r="L9" s="245" t="e">
        <f>SUM(#REF!)</f>
        <v>#REF!</v>
      </c>
      <c r="M9" s="245" t="e">
        <f>SUM(#REF!)</f>
        <v>#REF!</v>
      </c>
      <c r="N9" s="245" t="e">
        <f>SUM(#REF!)</f>
        <v>#REF!</v>
      </c>
      <c r="O9" s="245" t="e">
        <f>SUM(#REF!)</f>
        <v>#REF!</v>
      </c>
      <c r="P9" s="246">
        <f>SUM(D9:I9)</f>
        <v>7491</v>
      </c>
      <c r="Q9" s="96"/>
      <c r="R9" s="97"/>
      <c r="S9" s="98">
        <v>2948</v>
      </c>
      <c r="T9" s="98">
        <v>9</v>
      </c>
      <c r="U9" s="99"/>
      <c r="V9" s="100"/>
    </row>
    <row r="10" spans="1:16369" ht="18" customHeight="1" thickBot="1" x14ac:dyDescent="0.3">
      <c r="A10" s="101"/>
      <c r="B10" s="247" t="s">
        <v>179</v>
      </c>
      <c r="C10" s="248" t="s">
        <v>177</v>
      </c>
      <c r="D10" s="234">
        <v>23</v>
      </c>
      <c r="E10" s="234">
        <v>1630</v>
      </c>
      <c r="F10" s="234">
        <v>12111</v>
      </c>
      <c r="G10" s="234">
        <v>4413</v>
      </c>
      <c r="H10" s="234">
        <v>4831</v>
      </c>
      <c r="I10" s="234">
        <v>5272</v>
      </c>
      <c r="J10" s="249">
        <v>5628</v>
      </c>
      <c r="K10" s="249">
        <v>20</v>
      </c>
      <c r="L10" s="250"/>
      <c r="M10" s="250"/>
      <c r="N10" s="251"/>
      <c r="O10" s="251"/>
      <c r="P10" s="252">
        <f>SUM(D10:F10)</f>
        <v>13764</v>
      </c>
      <c r="Q10" s="102"/>
      <c r="R10" s="103"/>
      <c r="S10" s="104">
        <v>5628</v>
      </c>
      <c r="T10" s="104">
        <v>20</v>
      </c>
      <c r="U10" s="105"/>
      <c r="V10" s="106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</row>
    <row r="11" spans="1:16369" s="111" customFormat="1" ht="18" customHeight="1" thickBot="1" x14ac:dyDescent="0.25">
      <c r="A11" s="107" t="s">
        <v>178</v>
      </c>
      <c r="B11" s="247" t="s">
        <v>180</v>
      </c>
      <c r="C11" s="248" t="s">
        <v>181</v>
      </c>
      <c r="D11" s="234">
        <v>1615</v>
      </c>
      <c r="E11" s="234">
        <v>126</v>
      </c>
      <c r="F11" s="234">
        <v>7646</v>
      </c>
      <c r="G11" s="234">
        <v>240</v>
      </c>
      <c r="H11" s="234">
        <v>108</v>
      </c>
      <c r="I11" s="234">
        <v>203</v>
      </c>
      <c r="J11" s="253">
        <f t="shared" ref="J11:O12" si="0">SUM(J12:J12)</f>
        <v>0</v>
      </c>
      <c r="K11" s="253">
        <f t="shared" si="0"/>
        <v>0</v>
      </c>
      <c r="L11" s="253">
        <f t="shared" si="0"/>
        <v>0</v>
      </c>
      <c r="M11" s="253">
        <f t="shared" si="0"/>
        <v>0</v>
      </c>
      <c r="N11" s="253">
        <f t="shared" si="0"/>
        <v>0</v>
      </c>
      <c r="O11" s="253">
        <f t="shared" si="0"/>
        <v>0</v>
      </c>
      <c r="P11" s="254">
        <f>SUM(D11:O12)</f>
        <v>12641</v>
      </c>
      <c r="Q11" s="108"/>
      <c r="R11" s="109"/>
      <c r="S11" s="110">
        <v>9185</v>
      </c>
      <c r="T11" s="110">
        <v>202</v>
      </c>
      <c r="U11" s="105"/>
      <c r="V11" s="106"/>
    </row>
    <row r="12" spans="1:16369" s="111" customFormat="1" ht="18" customHeight="1" thickBot="1" x14ac:dyDescent="0.25">
      <c r="A12" s="112"/>
      <c r="B12" s="255" t="s">
        <v>182</v>
      </c>
      <c r="C12" s="256" t="s">
        <v>181</v>
      </c>
      <c r="D12" s="235">
        <v>207</v>
      </c>
      <c r="E12" s="235">
        <v>504</v>
      </c>
      <c r="F12" s="235">
        <v>1110</v>
      </c>
      <c r="G12" s="235">
        <v>385</v>
      </c>
      <c r="H12" s="235">
        <v>228</v>
      </c>
      <c r="I12" s="235">
        <v>269</v>
      </c>
      <c r="J12" s="257">
        <f t="shared" si="0"/>
        <v>0</v>
      </c>
      <c r="K12" s="257">
        <f t="shared" si="0"/>
        <v>0</v>
      </c>
      <c r="L12" s="257">
        <f t="shared" si="0"/>
        <v>0</v>
      </c>
      <c r="M12" s="257">
        <f t="shared" si="0"/>
        <v>0</v>
      </c>
      <c r="N12" s="257">
        <f t="shared" si="0"/>
        <v>0</v>
      </c>
      <c r="O12" s="257">
        <f t="shared" si="0"/>
        <v>0</v>
      </c>
      <c r="P12" s="258">
        <v>1821</v>
      </c>
      <c r="Q12" s="113"/>
      <c r="R12" s="114"/>
      <c r="S12" s="115">
        <v>1142</v>
      </c>
      <c r="T12" s="115">
        <v>337</v>
      </c>
      <c r="U12" s="116"/>
      <c r="V12" s="117"/>
    </row>
    <row r="13" spans="1:16369" ht="18" customHeight="1" x14ac:dyDescent="0.2">
      <c r="P13" s="59">
        <f>SUM(P9:P12)</f>
        <v>35717</v>
      </c>
    </row>
    <row r="14" spans="1:16369" ht="18" customHeight="1" x14ac:dyDescent="0.2"/>
    <row r="15" spans="1:16369" ht="18" customHeight="1" x14ac:dyDescent="0.2"/>
    <row r="16" spans="1:16369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</sheetData>
  <mergeCells count="26">
    <mergeCell ref="L6:L8"/>
    <mergeCell ref="M6:M8"/>
    <mergeCell ref="N6:N8"/>
    <mergeCell ref="O6:O8"/>
    <mergeCell ref="P6:P8"/>
    <mergeCell ref="Q6:V6"/>
    <mergeCell ref="Q7:Q8"/>
    <mergeCell ref="R7:R8"/>
    <mergeCell ref="S7:T7"/>
    <mergeCell ref="U7:V7"/>
    <mergeCell ref="F6:F8"/>
    <mergeCell ref="G6:G8"/>
    <mergeCell ref="H6:H8"/>
    <mergeCell ref="I6:I8"/>
    <mergeCell ref="J6:J8"/>
    <mergeCell ref="K6:K8"/>
    <mergeCell ref="B1:U1"/>
    <mergeCell ref="C2:O2"/>
    <mergeCell ref="C3:O3"/>
    <mergeCell ref="C4:O4"/>
    <mergeCell ref="C5:O5"/>
    <mergeCell ref="A6:A8"/>
    <mergeCell ref="B6:B8"/>
    <mergeCell ref="C6:C8"/>
    <mergeCell ref="D6:D8"/>
    <mergeCell ref="E6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B5B4-774D-432F-9138-B21280A69AE1}">
  <sheetPr>
    <tabColor theme="5" tint="0.39997558519241921"/>
  </sheetPr>
  <dimension ref="A1:Q401"/>
  <sheetViews>
    <sheetView zoomScale="98" zoomScaleNormal="98" workbookViewId="0">
      <selection sqref="A1:XFD1048576"/>
    </sheetView>
  </sheetViews>
  <sheetFormatPr baseColWidth="10" defaultRowHeight="15" x14ac:dyDescent="0.2"/>
  <cols>
    <col min="1" max="1" width="4" style="260" bestFit="1" customWidth="1"/>
    <col min="2" max="2" width="18.5" style="260" customWidth="1"/>
    <col min="3" max="3" width="14.33203125" style="260" customWidth="1"/>
    <col min="4" max="4" width="14.1640625" style="260" customWidth="1"/>
    <col min="5" max="6" width="15" style="260" customWidth="1"/>
    <col min="7" max="7" width="14.1640625" style="260" customWidth="1"/>
    <col min="8" max="8" width="15" style="260" customWidth="1"/>
    <col min="9" max="9" width="13.6640625" style="260" customWidth="1"/>
    <col min="10" max="14" width="15" style="260" customWidth="1"/>
    <col min="15" max="16384" width="10.83203125" style="260"/>
  </cols>
  <sheetData>
    <row r="1" spans="1:14" ht="16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16" x14ac:dyDescent="0.2">
      <c r="A2" s="261"/>
      <c r="B2" s="46"/>
      <c r="C2" s="46"/>
      <c r="D2" s="210" t="s">
        <v>0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4" ht="16" x14ac:dyDescent="0.2">
      <c r="A3" s="261"/>
      <c r="B3" s="46"/>
      <c r="C3" s="46"/>
      <c r="D3" s="210" t="s">
        <v>135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4" ht="16" x14ac:dyDescent="0.2">
      <c r="A4" s="261"/>
      <c r="B4" s="46"/>
      <c r="C4" s="46"/>
      <c r="D4" s="210" t="s">
        <v>183</v>
      </c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ht="16" x14ac:dyDescent="0.2">
      <c r="A5" s="261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47"/>
      <c r="N5" s="47"/>
    </row>
    <row r="6" spans="1:14" ht="16" x14ac:dyDescent="0.2">
      <c r="A6" s="261"/>
      <c r="B6" s="46"/>
      <c r="C6" s="46"/>
      <c r="D6" s="205" t="s">
        <v>134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4" ht="16" x14ac:dyDescent="0.2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1:14" ht="16" x14ac:dyDescent="0.2">
      <c r="A8" s="206" t="s">
        <v>22</v>
      </c>
      <c r="B8" s="207"/>
      <c r="C8" s="263" t="s">
        <v>184</v>
      </c>
      <c r="D8" s="264"/>
      <c r="E8" s="265"/>
      <c r="F8" s="264" t="s">
        <v>185</v>
      </c>
      <c r="G8" s="264"/>
      <c r="H8" s="264"/>
      <c r="I8" s="263" t="s">
        <v>186</v>
      </c>
      <c r="J8" s="264"/>
      <c r="K8" s="265"/>
      <c r="L8" s="263" t="s">
        <v>1</v>
      </c>
      <c r="M8" s="264"/>
      <c r="N8" s="265"/>
    </row>
    <row r="9" spans="1:14" x14ac:dyDescent="0.2">
      <c r="A9" s="208"/>
      <c r="B9" s="209"/>
      <c r="C9" s="266" t="s">
        <v>2</v>
      </c>
      <c r="D9" s="267" t="s">
        <v>3</v>
      </c>
      <c r="E9" s="268" t="s">
        <v>4</v>
      </c>
      <c r="F9" s="266" t="s">
        <v>2</v>
      </c>
      <c r="G9" s="266" t="s">
        <v>3</v>
      </c>
      <c r="H9" s="269" t="s">
        <v>4</v>
      </c>
      <c r="I9" s="270" t="s">
        <v>2</v>
      </c>
      <c r="J9" s="266" t="s">
        <v>3</v>
      </c>
      <c r="K9" s="271" t="s">
        <v>4</v>
      </c>
      <c r="L9" s="266" t="s">
        <v>2</v>
      </c>
      <c r="M9" s="266" t="s">
        <v>3</v>
      </c>
      <c r="N9" s="271" t="s">
        <v>4</v>
      </c>
    </row>
    <row r="10" spans="1:14" s="281" customFormat="1" ht="34" x14ac:dyDescent="0.2">
      <c r="A10" s="272" t="s">
        <v>5</v>
      </c>
      <c r="B10" s="273" t="s">
        <v>146</v>
      </c>
      <c r="C10" s="274">
        <f>60006977.75+41828.07</f>
        <v>60048805.82</v>
      </c>
      <c r="D10" s="275">
        <f>1244427743.3-C10-C11-C12-C13-C14-C15-C16-C17-C18-C19</f>
        <v>789144385.04999983</v>
      </c>
      <c r="E10" s="276">
        <f>C10+D10</f>
        <v>849193190.86999989</v>
      </c>
      <c r="F10" s="277">
        <f>59583733.77+54762.5</f>
        <v>59638496.270000003</v>
      </c>
      <c r="G10" s="278">
        <f>1342908625-F10-F11-F12-F13-F14-F15-F16-F17-F18-F19</f>
        <v>882337717.99999988</v>
      </c>
      <c r="H10" s="279">
        <f t="shared" ref="H10:H18" si="0">F10+G10</f>
        <v>941976214.26999986</v>
      </c>
      <c r="I10" s="274">
        <f>63508506.61+957.61+3+1.07+2.29+12554.7</f>
        <v>63522025.280000001</v>
      </c>
      <c r="J10" s="278">
        <f>733582114.92-I10-I11-I12-I13-I14-I15-I16-I17-I18-I19</f>
        <v>260539879.46000004</v>
      </c>
      <c r="K10" s="276">
        <f>I10+J10</f>
        <v>324061904.74000001</v>
      </c>
      <c r="L10" s="280">
        <f>C10+F10+I10</f>
        <v>183209327.37</v>
      </c>
      <c r="M10" s="278">
        <f>D10+G10+J10</f>
        <v>1932021982.5099998</v>
      </c>
      <c r="N10" s="63">
        <f>L10+M10</f>
        <v>2115231309.8799996</v>
      </c>
    </row>
    <row r="11" spans="1:14" s="281" customFormat="1" ht="85" x14ac:dyDescent="0.2">
      <c r="A11" s="282" t="s">
        <v>11</v>
      </c>
      <c r="B11" s="283" t="s">
        <v>12</v>
      </c>
      <c r="C11" s="284">
        <v>80395486.469999999</v>
      </c>
      <c r="D11" s="285">
        <v>21544637.149999999</v>
      </c>
      <c r="E11" s="276">
        <f t="shared" ref="E11:E19" si="1">C11+D11</f>
        <v>101940123.62</v>
      </c>
      <c r="F11" s="286">
        <v>86319927.200000003</v>
      </c>
      <c r="G11" s="285">
        <v>42755510.299999997</v>
      </c>
      <c r="H11" s="287">
        <f t="shared" si="0"/>
        <v>129075437.5</v>
      </c>
      <c r="I11" s="284">
        <v>87942713.109999999</v>
      </c>
      <c r="J11" s="285">
        <v>39074027.729999997</v>
      </c>
      <c r="K11" s="276">
        <f t="shared" ref="K11:K19" si="2">I11+J11</f>
        <v>127016740.84</v>
      </c>
      <c r="L11" s="280">
        <f t="shared" ref="L11:L19" si="3">C11+F11+I11</f>
        <v>254658126.78000003</v>
      </c>
      <c r="M11" s="278">
        <f t="shared" ref="M11:M19" si="4">D11+G11+J11</f>
        <v>103374175.17999999</v>
      </c>
      <c r="N11" s="63">
        <f t="shared" ref="N11:N19" si="5">L11+M11</f>
        <v>358032301.96000004</v>
      </c>
    </row>
    <row r="12" spans="1:14" s="281" customFormat="1" ht="34" x14ac:dyDescent="0.2">
      <c r="A12" s="282" t="s">
        <v>6</v>
      </c>
      <c r="B12" s="283" t="s">
        <v>145</v>
      </c>
      <c r="C12" s="284">
        <f>64427013+811593.44+1360258.17</f>
        <v>66598864.609999999</v>
      </c>
      <c r="D12" s="285">
        <v>7617849.4900000002</v>
      </c>
      <c r="E12" s="276">
        <f t="shared" si="1"/>
        <v>74216714.099999994</v>
      </c>
      <c r="F12" s="286">
        <f>64523884.15+811593.44</f>
        <v>65335477.589999996</v>
      </c>
      <c r="G12" s="288">
        <v>4255309.05</v>
      </c>
      <c r="H12" s="287">
        <f t="shared" si="0"/>
        <v>69590786.640000001</v>
      </c>
      <c r="I12" s="284">
        <f>65266212.94+1022137.85+557970.49</f>
        <v>66846321.280000001</v>
      </c>
      <c r="J12" s="288">
        <v>17925300.030000001</v>
      </c>
      <c r="K12" s="276">
        <f t="shared" si="2"/>
        <v>84771621.310000002</v>
      </c>
      <c r="L12" s="280">
        <f t="shared" si="3"/>
        <v>198780663.47999999</v>
      </c>
      <c r="M12" s="278">
        <f t="shared" si="4"/>
        <v>29798458.57</v>
      </c>
      <c r="N12" s="63">
        <f t="shared" si="5"/>
        <v>228579122.04999998</v>
      </c>
    </row>
    <row r="13" spans="1:14" s="281" customFormat="1" ht="34" x14ac:dyDescent="0.2">
      <c r="A13" s="289" t="s">
        <v>13</v>
      </c>
      <c r="B13" s="283" t="s">
        <v>147</v>
      </c>
      <c r="C13" s="284">
        <v>17139764.100000001</v>
      </c>
      <c r="D13" s="285">
        <v>78000</v>
      </c>
      <c r="E13" s="276">
        <f t="shared" si="1"/>
        <v>17217764.100000001</v>
      </c>
      <c r="F13" s="286">
        <v>17149306.649999999</v>
      </c>
      <c r="G13" s="285">
        <v>0</v>
      </c>
      <c r="H13" s="287">
        <f t="shared" si="0"/>
        <v>17149306.649999999</v>
      </c>
      <c r="I13" s="284">
        <v>16947522.18</v>
      </c>
      <c r="J13" s="285">
        <v>0</v>
      </c>
      <c r="K13" s="276">
        <f t="shared" si="2"/>
        <v>16947522.18</v>
      </c>
      <c r="L13" s="280">
        <f t="shared" si="3"/>
        <v>51236592.93</v>
      </c>
      <c r="M13" s="278">
        <f t="shared" si="4"/>
        <v>78000</v>
      </c>
      <c r="N13" s="63">
        <f t="shared" si="5"/>
        <v>51314592.93</v>
      </c>
    </row>
    <row r="14" spans="1:14" s="281" customFormat="1" ht="84.75" customHeight="1" x14ac:dyDescent="0.2">
      <c r="A14" s="289" t="s">
        <v>18</v>
      </c>
      <c r="B14" s="283" t="s">
        <v>19</v>
      </c>
      <c r="C14" s="284">
        <v>18438652.190000001</v>
      </c>
      <c r="D14" s="285">
        <v>11531600.279999999</v>
      </c>
      <c r="E14" s="276">
        <f t="shared" si="1"/>
        <v>29970252.469999999</v>
      </c>
      <c r="F14" s="286">
        <v>19628635.760000002</v>
      </c>
      <c r="G14" s="285">
        <v>12645879.380000001</v>
      </c>
      <c r="H14" s="287">
        <f t="shared" si="0"/>
        <v>32274515.140000001</v>
      </c>
      <c r="I14" s="284">
        <v>19932049.879999999</v>
      </c>
      <c r="J14" s="285">
        <v>11798669.279999999</v>
      </c>
      <c r="K14" s="276">
        <f t="shared" si="2"/>
        <v>31730719.159999996</v>
      </c>
      <c r="L14" s="280">
        <f t="shared" si="3"/>
        <v>57999337.829999998</v>
      </c>
      <c r="M14" s="278">
        <f t="shared" si="4"/>
        <v>35976148.939999998</v>
      </c>
      <c r="N14" s="63">
        <f t="shared" si="5"/>
        <v>93975486.769999996</v>
      </c>
    </row>
    <row r="15" spans="1:14" s="281" customFormat="1" ht="51" customHeight="1" x14ac:dyDescent="0.2">
      <c r="A15" s="289" t="s">
        <v>14</v>
      </c>
      <c r="B15" s="283" t="s">
        <v>15</v>
      </c>
      <c r="C15" s="284">
        <v>21611273.620000001</v>
      </c>
      <c r="D15" s="285">
        <v>0</v>
      </c>
      <c r="E15" s="276">
        <f t="shared" si="1"/>
        <v>21611273.620000001</v>
      </c>
      <c r="F15" s="286">
        <v>21618956.510000002</v>
      </c>
      <c r="G15" s="285">
        <v>15457.37</v>
      </c>
      <c r="H15" s="287">
        <f t="shared" si="0"/>
        <v>21634413.880000003</v>
      </c>
      <c r="I15" s="284">
        <v>21620495.719999999</v>
      </c>
      <c r="J15" s="285">
        <v>199999</v>
      </c>
      <c r="K15" s="276">
        <f t="shared" si="2"/>
        <v>21820494.719999999</v>
      </c>
      <c r="L15" s="280">
        <f t="shared" si="3"/>
        <v>64850725.850000001</v>
      </c>
      <c r="M15" s="278">
        <f t="shared" si="4"/>
        <v>215456.37</v>
      </c>
      <c r="N15" s="63">
        <f t="shared" si="5"/>
        <v>65066182.219999999</v>
      </c>
    </row>
    <row r="16" spans="1:14" s="281" customFormat="1" ht="85" x14ac:dyDescent="0.2">
      <c r="A16" s="289" t="s">
        <v>20</v>
      </c>
      <c r="B16" s="283" t="s">
        <v>21</v>
      </c>
      <c r="C16" s="284">
        <v>12888254.85</v>
      </c>
      <c r="D16" s="285">
        <v>2073110.22</v>
      </c>
      <c r="E16" s="276">
        <f t="shared" si="1"/>
        <v>14961365.07</v>
      </c>
      <c r="F16" s="286">
        <v>12985817.689999999</v>
      </c>
      <c r="G16" s="285">
        <v>0</v>
      </c>
      <c r="H16" s="287">
        <f t="shared" si="0"/>
        <v>12985817.689999999</v>
      </c>
      <c r="I16" s="284">
        <v>14440000.5</v>
      </c>
      <c r="J16" s="285">
        <v>180100</v>
      </c>
      <c r="K16" s="276">
        <f t="shared" si="2"/>
        <v>14620100.5</v>
      </c>
      <c r="L16" s="280">
        <f t="shared" si="3"/>
        <v>40314073.039999999</v>
      </c>
      <c r="M16" s="278">
        <f t="shared" si="4"/>
        <v>2253210.2199999997</v>
      </c>
      <c r="N16" s="63">
        <f t="shared" si="5"/>
        <v>42567283.259999998</v>
      </c>
    </row>
    <row r="17" spans="1:17" s="281" customFormat="1" ht="51" x14ac:dyDescent="0.2">
      <c r="A17" s="290" t="s">
        <v>9</v>
      </c>
      <c r="B17" s="291" t="s">
        <v>10</v>
      </c>
      <c r="C17" s="284">
        <v>5242051.59</v>
      </c>
      <c r="D17" s="285">
        <v>0</v>
      </c>
      <c r="E17" s="276">
        <f t="shared" si="1"/>
        <v>5242051.59</v>
      </c>
      <c r="F17" s="286">
        <v>5707418.0999999996</v>
      </c>
      <c r="G17" s="288">
        <v>0</v>
      </c>
      <c r="H17" s="287">
        <f t="shared" si="0"/>
        <v>5707418.0999999996</v>
      </c>
      <c r="I17" s="284">
        <v>6505422.3200000003</v>
      </c>
      <c r="J17" s="288">
        <v>0</v>
      </c>
      <c r="K17" s="276">
        <f t="shared" si="2"/>
        <v>6505422.3200000003</v>
      </c>
      <c r="L17" s="280">
        <f t="shared" si="3"/>
        <v>17454892.009999998</v>
      </c>
      <c r="M17" s="278">
        <f t="shared" si="4"/>
        <v>0</v>
      </c>
      <c r="N17" s="63">
        <f t="shared" si="5"/>
        <v>17454892.009999998</v>
      </c>
    </row>
    <row r="18" spans="1:17" s="281" customFormat="1" ht="34" x14ac:dyDescent="0.2">
      <c r="A18" s="289" t="s">
        <v>16</v>
      </c>
      <c r="B18" s="283" t="s">
        <v>17</v>
      </c>
      <c r="C18" s="284">
        <f>162986879.38+1460067.2+1560521.7</f>
        <v>166007468.27999997</v>
      </c>
      <c r="D18" s="285">
        <v>1967612</v>
      </c>
      <c r="E18" s="276">
        <f t="shared" si="1"/>
        <v>167975080.27999997</v>
      </c>
      <c r="F18" s="286">
        <f>164859898.7+270370.92</f>
        <v>165130269.61999997</v>
      </c>
      <c r="G18" s="285">
        <v>215100</v>
      </c>
      <c r="H18" s="287">
        <f t="shared" si="0"/>
        <v>165345369.61999997</v>
      </c>
      <c r="I18" s="284">
        <f>168161022.6+285689.57+753673.66</f>
        <v>169200385.82999998</v>
      </c>
      <c r="J18" s="285">
        <v>68286757</v>
      </c>
      <c r="K18" s="276">
        <f t="shared" si="2"/>
        <v>237487142.82999998</v>
      </c>
      <c r="L18" s="280">
        <f t="shared" si="3"/>
        <v>500338123.72999996</v>
      </c>
      <c r="M18" s="278">
        <f t="shared" si="4"/>
        <v>70469469</v>
      </c>
      <c r="N18" s="63">
        <f t="shared" si="5"/>
        <v>570807592.73000002</v>
      </c>
    </row>
    <row r="19" spans="1:17" s="281" customFormat="1" ht="70.5" customHeight="1" x14ac:dyDescent="0.2">
      <c r="A19" s="282" t="s">
        <v>7</v>
      </c>
      <c r="B19" s="283" t="s">
        <v>8</v>
      </c>
      <c r="C19" s="284">
        <v>6912736.7199999997</v>
      </c>
      <c r="D19" s="285">
        <v>29352341.5</v>
      </c>
      <c r="E19" s="276">
        <f t="shared" si="1"/>
        <v>36265078.219999999</v>
      </c>
      <c r="F19" s="286">
        <v>7056601.6100000003</v>
      </c>
      <c r="G19" s="288">
        <v>19583349.640000001</v>
      </c>
      <c r="H19" s="287">
        <f t="shared" ref="H19" si="6">F19+G19</f>
        <v>26639951.25</v>
      </c>
      <c r="I19" s="284">
        <v>6085299.3600000003</v>
      </c>
      <c r="J19" s="288">
        <v>14802493.529999999</v>
      </c>
      <c r="K19" s="276">
        <f t="shared" si="2"/>
        <v>20887792.890000001</v>
      </c>
      <c r="L19" s="280">
        <f t="shared" si="3"/>
        <v>20054637.690000001</v>
      </c>
      <c r="M19" s="278">
        <f t="shared" si="4"/>
        <v>63738184.670000002</v>
      </c>
      <c r="N19" s="63">
        <f t="shared" si="5"/>
        <v>83792822.359999999</v>
      </c>
    </row>
    <row r="20" spans="1:17" s="281" customFormat="1" ht="22.5" customHeight="1" thickBot="1" x14ac:dyDescent="0.25">
      <c r="A20" s="292" t="s">
        <v>1</v>
      </c>
      <c r="B20" s="293"/>
      <c r="C20" s="294">
        <f t="shared" ref="C20:N20" si="7">SUM(C10:C19)</f>
        <v>455283358.24999994</v>
      </c>
      <c r="D20" s="295">
        <f t="shared" si="7"/>
        <v>863309535.68999982</v>
      </c>
      <c r="E20" s="296">
        <f t="shared" si="7"/>
        <v>1318592893.9399998</v>
      </c>
      <c r="F20" s="297">
        <f t="shared" si="7"/>
        <v>460570907</v>
      </c>
      <c r="G20" s="295">
        <f t="shared" si="7"/>
        <v>961808323.73999977</v>
      </c>
      <c r="H20" s="298">
        <f t="shared" si="7"/>
        <v>1422379230.74</v>
      </c>
      <c r="I20" s="294">
        <f t="shared" si="7"/>
        <v>473042235.45999998</v>
      </c>
      <c r="J20" s="295">
        <f t="shared" si="7"/>
        <v>412807226.02999997</v>
      </c>
      <c r="K20" s="299">
        <f>SUM(K10:K19)</f>
        <v>885849461.49000013</v>
      </c>
      <c r="L20" s="297">
        <f t="shared" si="7"/>
        <v>1388896500.71</v>
      </c>
      <c r="M20" s="295">
        <f t="shared" si="7"/>
        <v>2237925085.46</v>
      </c>
      <c r="N20" s="299">
        <f t="shared" si="7"/>
        <v>3626821586.1700001</v>
      </c>
      <c r="P20" s="300"/>
    </row>
    <row r="21" spans="1:17" s="281" customFormat="1" ht="22.5" customHeight="1" thickTop="1" x14ac:dyDescent="0.2">
      <c r="A21" s="301"/>
      <c r="B21" s="301"/>
      <c r="C21" s="302"/>
      <c r="D21" s="302"/>
      <c r="E21" s="303"/>
      <c r="F21" s="304"/>
      <c r="G21" s="304"/>
      <c r="H21" s="304"/>
      <c r="I21" s="304"/>
      <c r="J21" s="304"/>
      <c r="K21" s="304"/>
      <c r="L21" s="304"/>
      <c r="M21" s="304"/>
      <c r="N21" s="304"/>
      <c r="P21" s="305"/>
    </row>
    <row r="22" spans="1:17" x14ac:dyDescent="0.2">
      <c r="A22" s="306" t="s">
        <v>190</v>
      </c>
      <c r="B22" s="306"/>
      <c r="C22" s="306"/>
      <c r="D22" s="306"/>
      <c r="E22" s="306"/>
      <c r="F22" s="2"/>
      <c r="G22" s="2"/>
      <c r="H22" s="2"/>
      <c r="I22" s="2"/>
      <c r="J22" s="2"/>
      <c r="K22" s="2"/>
      <c r="L22" s="2"/>
      <c r="M22" s="2"/>
      <c r="N22" s="2"/>
      <c r="P22" s="307"/>
      <c r="Q22" s="307"/>
    </row>
    <row r="23" spans="1:17" x14ac:dyDescent="0.2">
      <c r="A23" s="308"/>
      <c r="B23" s="308"/>
      <c r="C23" s="308"/>
      <c r="D23" s="308"/>
      <c r="E23" s="308"/>
      <c r="J23" s="309"/>
      <c r="K23" s="309"/>
      <c r="L23" s="310"/>
      <c r="N23" s="311"/>
    </row>
    <row r="24" spans="1:17" x14ac:dyDescent="0.2">
      <c r="A24" s="308"/>
      <c r="B24" s="308"/>
      <c r="C24" s="312"/>
      <c r="D24" s="308"/>
      <c r="E24" s="308"/>
      <c r="J24" s="309"/>
      <c r="K24" s="309"/>
      <c r="L24" s="310"/>
    </row>
    <row r="25" spans="1:17" x14ac:dyDescent="0.2">
      <c r="J25" s="309"/>
      <c r="K25" s="309"/>
      <c r="L25" s="310"/>
    </row>
    <row r="26" spans="1:17" x14ac:dyDescent="0.2">
      <c r="J26" s="309"/>
      <c r="K26" s="309"/>
      <c r="L26" s="310"/>
    </row>
    <row r="27" spans="1:17" x14ac:dyDescent="0.2">
      <c r="J27" s="309"/>
      <c r="K27" s="309"/>
      <c r="L27" s="310"/>
    </row>
    <row r="28" spans="1:17" x14ac:dyDescent="0.2">
      <c r="J28" s="309"/>
      <c r="K28" s="309"/>
      <c r="L28" s="310"/>
    </row>
    <row r="29" spans="1:17" x14ac:dyDescent="0.2">
      <c r="J29" s="309"/>
      <c r="K29" s="309"/>
      <c r="L29" s="310"/>
    </row>
    <row r="30" spans="1:17" x14ac:dyDescent="0.2">
      <c r="J30" s="309"/>
      <c r="K30" s="309"/>
      <c r="L30" s="310"/>
    </row>
    <row r="31" spans="1:17" x14ac:dyDescent="0.2">
      <c r="J31" s="309"/>
      <c r="K31" s="309"/>
      <c r="L31" s="310"/>
    </row>
    <row r="32" spans="1:17" x14ac:dyDescent="0.2">
      <c r="J32" s="309"/>
      <c r="K32" s="309"/>
      <c r="L32" s="310"/>
    </row>
    <row r="33" spans="10:12" x14ac:dyDescent="0.2">
      <c r="J33" s="309"/>
      <c r="K33" s="309"/>
      <c r="L33" s="310"/>
    </row>
    <row r="34" spans="10:12" x14ac:dyDescent="0.2">
      <c r="J34" s="309"/>
      <c r="K34" s="309"/>
      <c r="L34" s="310"/>
    </row>
    <row r="35" spans="10:12" x14ac:dyDescent="0.2">
      <c r="J35" s="309"/>
      <c r="K35" s="309"/>
      <c r="L35" s="310"/>
    </row>
    <row r="36" spans="10:12" x14ac:dyDescent="0.2">
      <c r="J36" s="309"/>
      <c r="K36" s="309"/>
      <c r="L36" s="310"/>
    </row>
    <row r="37" spans="10:12" x14ac:dyDescent="0.2">
      <c r="J37" s="309"/>
      <c r="K37" s="309"/>
      <c r="L37" s="310"/>
    </row>
    <row r="38" spans="10:12" x14ac:dyDescent="0.2">
      <c r="J38" s="309"/>
      <c r="K38" s="309"/>
      <c r="L38" s="310"/>
    </row>
    <row r="39" spans="10:12" x14ac:dyDescent="0.2">
      <c r="J39" s="309"/>
      <c r="K39" s="309"/>
      <c r="L39" s="310"/>
    </row>
    <row r="40" spans="10:12" x14ac:dyDescent="0.2">
      <c r="J40" s="309"/>
      <c r="K40" s="309"/>
      <c r="L40" s="310"/>
    </row>
    <row r="41" spans="10:12" x14ac:dyDescent="0.2">
      <c r="J41" s="309"/>
      <c r="K41" s="309"/>
      <c r="L41" s="310"/>
    </row>
    <row r="42" spans="10:12" x14ac:dyDescent="0.2">
      <c r="J42" s="309"/>
      <c r="K42" s="309"/>
      <c r="L42" s="310"/>
    </row>
    <row r="43" spans="10:12" x14ac:dyDescent="0.2">
      <c r="J43" s="309"/>
      <c r="K43" s="309"/>
      <c r="L43" s="310"/>
    </row>
    <row r="44" spans="10:12" x14ac:dyDescent="0.2">
      <c r="J44" s="309"/>
      <c r="K44" s="309"/>
      <c r="L44" s="310"/>
    </row>
    <row r="45" spans="10:12" x14ac:dyDescent="0.2">
      <c r="J45" s="309"/>
      <c r="K45" s="309"/>
      <c r="L45" s="310"/>
    </row>
    <row r="46" spans="10:12" x14ac:dyDescent="0.2">
      <c r="J46" s="309"/>
      <c r="K46" s="309"/>
      <c r="L46" s="310"/>
    </row>
    <row r="47" spans="10:12" x14ac:dyDescent="0.2">
      <c r="J47" s="309"/>
      <c r="K47" s="309"/>
      <c r="L47" s="310"/>
    </row>
    <row r="48" spans="10:12" x14ac:dyDescent="0.2">
      <c r="J48" s="309"/>
      <c r="K48" s="309"/>
      <c r="L48" s="310"/>
    </row>
    <row r="49" spans="10:12" x14ac:dyDescent="0.2">
      <c r="J49" s="309"/>
      <c r="K49" s="309"/>
      <c r="L49" s="310"/>
    </row>
    <row r="50" spans="10:12" x14ac:dyDescent="0.2">
      <c r="J50" s="309"/>
      <c r="K50" s="309"/>
      <c r="L50" s="310"/>
    </row>
    <row r="51" spans="10:12" x14ac:dyDescent="0.2">
      <c r="J51" s="309"/>
      <c r="K51" s="309"/>
      <c r="L51" s="310"/>
    </row>
    <row r="52" spans="10:12" x14ac:dyDescent="0.2">
      <c r="J52" s="309"/>
      <c r="K52" s="309"/>
      <c r="L52" s="310"/>
    </row>
    <row r="53" spans="10:12" x14ac:dyDescent="0.2">
      <c r="J53" s="309"/>
      <c r="K53" s="309"/>
      <c r="L53" s="310"/>
    </row>
    <row r="54" spans="10:12" x14ac:dyDescent="0.2">
      <c r="J54" s="309"/>
      <c r="K54" s="309"/>
      <c r="L54" s="310"/>
    </row>
    <row r="55" spans="10:12" x14ac:dyDescent="0.2">
      <c r="J55" s="309"/>
      <c r="K55" s="309"/>
      <c r="L55" s="310"/>
    </row>
    <row r="56" spans="10:12" x14ac:dyDescent="0.2">
      <c r="J56" s="309"/>
      <c r="K56" s="309"/>
      <c r="L56" s="310"/>
    </row>
    <row r="57" spans="10:12" x14ac:dyDescent="0.2">
      <c r="J57" s="309"/>
      <c r="K57" s="309"/>
      <c r="L57" s="310"/>
    </row>
    <row r="58" spans="10:12" x14ac:dyDescent="0.2">
      <c r="J58" s="309"/>
      <c r="K58" s="309"/>
      <c r="L58" s="310"/>
    </row>
    <row r="59" spans="10:12" x14ac:dyDescent="0.2">
      <c r="J59" s="309"/>
      <c r="K59" s="309"/>
      <c r="L59" s="310"/>
    </row>
    <row r="60" spans="10:12" x14ac:dyDescent="0.2">
      <c r="J60" s="309"/>
      <c r="K60" s="309"/>
      <c r="L60" s="310"/>
    </row>
    <row r="61" spans="10:12" x14ac:dyDescent="0.2">
      <c r="J61" s="309"/>
      <c r="K61" s="309"/>
      <c r="L61" s="310"/>
    </row>
    <row r="62" spans="10:12" x14ac:dyDescent="0.2">
      <c r="J62" s="309"/>
      <c r="K62" s="309"/>
      <c r="L62" s="310"/>
    </row>
    <row r="63" spans="10:12" x14ac:dyDescent="0.2">
      <c r="J63" s="309"/>
      <c r="K63" s="309"/>
      <c r="L63" s="310"/>
    </row>
    <row r="64" spans="10:12" x14ac:dyDescent="0.2">
      <c r="J64" s="309"/>
      <c r="K64" s="309"/>
      <c r="L64" s="310"/>
    </row>
    <row r="65" spans="10:12" x14ac:dyDescent="0.2">
      <c r="J65" s="309"/>
      <c r="K65" s="309"/>
      <c r="L65" s="310"/>
    </row>
    <row r="66" spans="10:12" x14ac:dyDescent="0.2">
      <c r="J66" s="309"/>
      <c r="K66" s="309"/>
      <c r="L66" s="310"/>
    </row>
    <row r="67" spans="10:12" x14ac:dyDescent="0.2">
      <c r="J67" s="309"/>
      <c r="K67" s="309"/>
      <c r="L67" s="310"/>
    </row>
    <row r="68" spans="10:12" x14ac:dyDescent="0.2">
      <c r="J68" s="309"/>
      <c r="K68" s="309"/>
      <c r="L68" s="310"/>
    </row>
    <row r="69" spans="10:12" x14ac:dyDescent="0.2">
      <c r="J69" s="309"/>
      <c r="K69" s="309"/>
      <c r="L69" s="310"/>
    </row>
    <row r="70" spans="10:12" x14ac:dyDescent="0.2">
      <c r="J70" s="309"/>
      <c r="K70" s="309"/>
      <c r="L70" s="310"/>
    </row>
    <row r="71" spans="10:12" x14ac:dyDescent="0.2">
      <c r="J71" s="309"/>
      <c r="K71" s="309"/>
      <c r="L71" s="310"/>
    </row>
    <row r="72" spans="10:12" x14ac:dyDescent="0.2">
      <c r="J72" s="309"/>
      <c r="K72" s="309"/>
      <c r="L72" s="310"/>
    </row>
    <row r="73" spans="10:12" x14ac:dyDescent="0.2">
      <c r="J73" s="309"/>
      <c r="K73" s="309"/>
      <c r="L73" s="310"/>
    </row>
    <row r="74" spans="10:12" x14ac:dyDescent="0.2">
      <c r="J74" s="309"/>
      <c r="K74" s="309"/>
      <c r="L74" s="310"/>
    </row>
    <row r="75" spans="10:12" x14ac:dyDescent="0.2">
      <c r="J75" s="309"/>
      <c r="K75" s="309"/>
      <c r="L75" s="310"/>
    </row>
    <row r="76" spans="10:12" x14ac:dyDescent="0.2">
      <c r="J76" s="309"/>
      <c r="K76" s="309"/>
      <c r="L76" s="310"/>
    </row>
    <row r="77" spans="10:12" x14ac:dyDescent="0.2">
      <c r="J77" s="309"/>
      <c r="K77" s="309"/>
      <c r="L77" s="310"/>
    </row>
    <row r="78" spans="10:12" x14ac:dyDescent="0.2">
      <c r="J78" s="309"/>
      <c r="K78" s="309"/>
      <c r="L78" s="310"/>
    </row>
    <row r="79" spans="10:12" x14ac:dyDescent="0.2">
      <c r="J79" s="309"/>
      <c r="K79" s="309"/>
      <c r="L79" s="310"/>
    </row>
    <row r="80" spans="10:12" x14ac:dyDescent="0.2">
      <c r="J80" s="309"/>
      <c r="K80" s="309"/>
      <c r="L80" s="310"/>
    </row>
    <row r="81" spans="10:12" x14ac:dyDescent="0.2">
      <c r="J81" s="309"/>
      <c r="K81" s="309"/>
      <c r="L81" s="310"/>
    </row>
    <row r="82" spans="10:12" x14ac:dyDescent="0.2">
      <c r="J82" s="309"/>
      <c r="K82" s="309"/>
      <c r="L82" s="310"/>
    </row>
    <row r="83" spans="10:12" x14ac:dyDescent="0.2">
      <c r="J83" s="309"/>
      <c r="K83" s="309"/>
      <c r="L83" s="310"/>
    </row>
    <row r="84" spans="10:12" x14ac:dyDescent="0.2">
      <c r="J84" s="309"/>
      <c r="K84" s="309"/>
      <c r="L84" s="310"/>
    </row>
    <row r="85" spans="10:12" x14ac:dyDescent="0.2">
      <c r="J85" s="309"/>
      <c r="K85" s="309"/>
      <c r="L85" s="310"/>
    </row>
    <row r="86" spans="10:12" x14ac:dyDescent="0.2">
      <c r="J86" s="309"/>
      <c r="K86" s="309"/>
      <c r="L86" s="310"/>
    </row>
    <row r="87" spans="10:12" x14ac:dyDescent="0.2">
      <c r="J87" s="309"/>
      <c r="K87" s="309"/>
      <c r="L87" s="310"/>
    </row>
    <row r="88" spans="10:12" x14ac:dyDescent="0.2">
      <c r="J88" s="309"/>
      <c r="K88" s="309"/>
      <c r="L88" s="310"/>
    </row>
    <row r="89" spans="10:12" x14ac:dyDescent="0.2">
      <c r="J89" s="309"/>
      <c r="K89" s="309"/>
      <c r="L89" s="310"/>
    </row>
    <row r="90" spans="10:12" x14ac:dyDescent="0.2">
      <c r="J90" s="309"/>
      <c r="K90" s="309"/>
      <c r="L90" s="310"/>
    </row>
    <row r="91" spans="10:12" x14ac:dyDescent="0.2">
      <c r="J91" s="309"/>
      <c r="K91" s="309"/>
      <c r="L91" s="310"/>
    </row>
    <row r="92" spans="10:12" x14ac:dyDescent="0.2">
      <c r="J92" s="309"/>
      <c r="K92" s="309"/>
      <c r="L92" s="310"/>
    </row>
    <row r="93" spans="10:12" x14ac:dyDescent="0.2">
      <c r="J93" s="309"/>
      <c r="K93" s="309"/>
      <c r="L93" s="310"/>
    </row>
    <row r="94" spans="10:12" x14ac:dyDescent="0.2">
      <c r="J94" s="309"/>
      <c r="K94" s="309"/>
      <c r="L94" s="310"/>
    </row>
    <row r="95" spans="10:12" x14ac:dyDescent="0.2">
      <c r="J95" s="309"/>
      <c r="K95" s="309"/>
      <c r="L95" s="310"/>
    </row>
    <row r="96" spans="10:12" x14ac:dyDescent="0.2">
      <c r="J96" s="309"/>
      <c r="K96" s="309"/>
      <c r="L96" s="310"/>
    </row>
    <row r="97" spans="10:12" x14ac:dyDescent="0.2">
      <c r="J97" s="309"/>
      <c r="K97" s="309"/>
      <c r="L97" s="310"/>
    </row>
    <row r="98" spans="10:12" x14ac:dyDescent="0.2">
      <c r="J98" s="309"/>
      <c r="K98" s="309"/>
      <c r="L98" s="310"/>
    </row>
    <row r="99" spans="10:12" x14ac:dyDescent="0.2">
      <c r="J99" s="309"/>
      <c r="K99" s="309"/>
      <c r="L99" s="310"/>
    </row>
    <row r="100" spans="10:12" x14ac:dyDescent="0.2">
      <c r="J100" s="309"/>
      <c r="K100" s="309"/>
      <c r="L100" s="310"/>
    </row>
    <row r="101" spans="10:12" x14ac:dyDescent="0.2">
      <c r="J101" s="309"/>
      <c r="K101" s="309"/>
      <c r="L101" s="310"/>
    </row>
    <row r="102" spans="10:12" x14ac:dyDescent="0.2">
      <c r="J102" s="309"/>
      <c r="K102" s="309"/>
      <c r="L102" s="310"/>
    </row>
    <row r="103" spans="10:12" x14ac:dyDescent="0.2">
      <c r="J103" s="309"/>
      <c r="K103" s="309"/>
      <c r="L103" s="310"/>
    </row>
    <row r="104" spans="10:12" x14ac:dyDescent="0.2">
      <c r="J104" s="309"/>
      <c r="K104" s="309"/>
      <c r="L104" s="310"/>
    </row>
    <row r="105" spans="10:12" x14ac:dyDescent="0.2">
      <c r="J105" s="309"/>
      <c r="K105" s="309"/>
      <c r="L105" s="310"/>
    </row>
    <row r="106" spans="10:12" x14ac:dyDescent="0.2">
      <c r="J106" s="309"/>
      <c r="K106" s="309"/>
      <c r="L106" s="310"/>
    </row>
    <row r="107" spans="10:12" x14ac:dyDescent="0.2">
      <c r="J107" s="309"/>
      <c r="K107" s="309"/>
      <c r="L107" s="310"/>
    </row>
    <row r="108" spans="10:12" x14ac:dyDescent="0.2">
      <c r="J108" s="309"/>
      <c r="K108" s="309"/>
      <c r="L108" s="310"/>
    </row>
    <row r="109" spans="10:12" x14ac:dyDescent="0.2">
      <c r="J109" s="309"/>
      <c r="K109" s="309"/>
      <c r="L109" s="310"/>
    </row>
    <row r="110" spans="10:12" x14ac:dyDescent="0.2">
      <c r="J110" s="309"/>
      <c r="K110" s="309"/>
      <c r="L110" s="310"/>
    </row>
    <row r="111" spans="10:12" x14ac:dyDescent="0.2">
      <c r="J111" s="309"/>
      <c r="K111" s="309"/>
      <c r="L111" s="310"/>
    </row>
    <row r="112" spans="10:12" x14ac:dyDescent="0.2">
      <c r="J112" s="309"/>
      <c r="K112" s="309"/>
      <c r="L112" s="310"/>
    </row>
    <row r="113" spans="10:12" x14ac:dyDescent="0.2">
      <c r="J113" s="309"/>
      <c r="K113" s="309"/>
      <c r="L113" s="310"/>
    </row>
    <row r="114" spans="10:12" x14ac:dyDescent="0.2">
      <c r="J114" s="309"/>
      <c r="K114" s="309"/>
      <c r="L114" s="310"/>
    </row>
    <row r="115" spans="10:12" x14ac:dyDescent="0.2">
      <c r="J115" s="309"/>
      <c r="K115" s="309"/>
      <c r="L115" s="310"/>
    </row>
    <row r="116" spans="10:12" x14ac:dyDescent="0.2">
      <c r="J116" s="309"/>
      <c r="K116" s="309"/>
      <c r="L116" s="310"/>
    </row>
    <row r="117" spans="10:12" x14ac:dyDescent="0.2">
      <c r="J117" s="309"/>
      <c r="K117" s="309"/>
      <c r="L117" s="310"/>
    </row>
    <row r="118" spans="10:12" x14ac:dyDescent="0.2">
      <c r="J118" s="309"/>
      <c r="K118" s="309"/>
      <c r="L118" s="310"/>
    </row>
    <row r="119" spans="10:12" x14ac:dyDescent="0.2">
      <c r="J119" s="309"/>
      <c r="K119" s="309"/>
      <c r="L119" s="310"/>
    </row>
    <row r="120" spans="10:12" x14ac:dyDescent="0.2">
      <c r="J120" s="309"/>
      <c r="K120" s="309"/>
      <c r="L120" s="310"/>
    </row>
    <row r="121" spans="10:12" x14ac:dyDescent="0.2">
      <c r="J121" s="309"/>
      <c r="K121" s="309"/>
      <c r="L121" s="310"/>
    </row>
    <row r="122" spans="10:12" x14ac:dyDescent="0.2">
      <c r="J122" s="309"/>
      <c r="K122" s="309"/>
      <c r="L122" s="310"/>
    </row>
    <row r="123" spans="10:12" x14ac:dyDescent="0.2">
      <c r="J123" s="309"/>
      <c r="K123" s="309"/>
      <c r="L123" s="310"/>
    </row>
    <row r="124" spans="10:12" x14ac:dyDescent="0.2">
      <c r="J124" s="309"/>
      <c r="K124" s="309"/>
      <c r="L124" s="310"/>
    </row>
    <row r="125" spans="10:12" x14ac:dyDescent="0.2">
      <c r="J125" s="309"/>
      <c r="K125" s="309"/>
      <c r="L125" s="310"/>
    </row>
    <row r="126" spans="10:12" x14ac:dyDescent="0.2">
      <c r="J126" s="309"/>
      <c r="K126" s="309"/>
      <c r="L126" s="310"/>
    </row>
    <row r="127" spans="10:12" x14ac:dyDescent="0.2">
      <c r="J127" s="309"/>
      <c r="K127" s="309"/>
      <c r="L127" s="310"/>
    </row>
    <row r="128" spans="10:12" x14ac:dyDescent="0.2">
      <c r="J128" s="309"/>
      <c r="K128" s="309"/>
      <c r="L128" s="310"/>
    </row>
    <row r="129" spans="10:12" x14ac:dyDescent="0.2">
      <c r="J129" s="309"/>
      <c r="K129" s="309"/>
      <c r="L129" s="310"/>
    </row>
    <row r="130" spans="10:12" x14ac:dyDescent="0.2">
      <c r="J130" s="309"/>
      <c r="K130" s="309"/>
      <c r="L130" s="310"/>
    </row>
    <row r="131" spans="10:12" x14ac:dyDescent="0.2">
      <c r="J131" s="309"/>
      <c r="K131" s="309"/>
      <c r="L131" s="310"/>
    </row>
    <row r="132" spans="10:12" x14ac:dyDescent="0.2">
      <c r="J132" s="309"/>
      <c r="K132" s="309"/>
      <c r="L132" s="310"/>
    </row>
    <row r="133" spans="10:12" x14ac:dyDescent="0.2">
      <c r="J133" s="309"/>
      <c r="K133" s="309"/>
      <c r="L133" s="310"/>
    </row>
    <row r="134" spans="10:12" x14ac:dyDescent="0.2">
      <c r="J134" s="309"/>
      <c r="K134" s="309"/>
      <c r="L134" s="310"/>
    </row>
    <row r="135" spans="10:12" x14ac:dyDescent="0.2">
      <c r="J135" s="309"/>
      <c r="K135" s="309"/>
      <c r="L135" s="310"/>
    </row>
    <row r="136" spans="10:12" x14ac:dyDescent="0.2">
      <c r="J136" s="309"/>
      <c r="K136" s="309"/>
      <c r="L136" s="310"/>
    </row>
    <row r="137" spans="10:12" x14ac:dyDescent="0.2">
      <c r="J137" s="309"/>
      <c r="K137" s="309"/>
      <c r="L137" s="310"/>
    </row>
    <row r="138" spans="10:12" x14ac:dyDescent="0.2">
      <c r="J138" s="309"/>
      <c r="K138" s="309"/>
      <c r="L138" s="310"/>
    </row>
    <row r="139" spans="10:12" x14ac:dyDescent="0.2">
      <c r="J139" s="309"/>
      <c r="K139" s="309"/>
      <c r="L139" s="310"/>
    </row>
    <row r="140" spans="10:12" x14ac:dyDescent="0.2">
      <c r="J140" s="309"/>
      <c r="K140" s="309"/>
      <c r="L140" s="310"/>
    </row>
    <row r="141" spans="10:12" x14ac:dyDescent="0.2">
      <c r="J141" s="309"/>
      <c r="K141" s="309"/>
      <c r="L141" s="310"/>
    </row>
    <row r="142" spans="10:12" x14ac:dyDescent="0.2">
      <c r="J142" s="309"/>
      <c r="K142" s="309"/>
      <c r="L142" s="310"/>
    </row>
    <row r="143" spans="10:12" x14ac:dyDescent="0.2">
      <c r="J143" s="309"/>
      <c r="K143" s="309"/>
      <c r="L143" s="310"/>
    </row>
    <row r="144" spans="10:12" x14ac:dyDescent="0.2">
      <c r="J144" s="309"/>
      <c r="K144" s="309"/>
      <c r="L144" s="310"/>
    </row>
    <row r="145" spans="10:12" x14ac:dyDescent="0.2">
      <c r="J145" s="309"/>
      <c r="K145" s="309"/>
      <c r="L145" s="310"/>
    </row>
    <row r="146" spans="10:12" x14ac:dyDescent="0.2">
      <c r="J146" s="309"/>
      <c r="K146" s="309"/>
      <c r="L146" s="310"/>
    </row>
    <row r="147" spans="10:12" x14ac:dyDescent="0.2">
      <c r="J147" s="309"/>
      <c r="K147" s="309"/>
      <c r="L147" s="310"/>
    </row>
    <row r="148" spans="10:12" x14ac:dyDescent="0.2">
      <c r="J148" s="309"/>
      <c r="K148" s="309"/>
      <c r="L148" s="310"/>
    </row>
    <row r="149" spans="10:12" x14ac:dyDescent="0.2">
      <c r="J149" s="309"/>
      <c r="K149" s="309"/>
      <c r="L149" s="310"/>
    </row>
    <row r="150" spans="10:12" x14ac:dyDescent="0.2">
      <c r="J150" s="309"/>
      <c r="K150" s="309"/>
      <c r="L150" s="310"/>
    </row>
    <row r="151" spans="10:12" x14ac:dyDescent="0.2">
      <c r="J151" s="309"/>
      <c r="K151" s="309"/>
      <c r="L151" s="310"/>
    </row>
    <row r="152" spans="10:12" x14ac:dyDescent="0.2">
      <c r="J152" s="309"/>
      <c r="K152" s="309"/>
      <c r="L152" s="310"/>
    </row>
    <row r="153" spans="10:12" x14ac:dyDescent="0.2">
      <c r="J153" s="309"/>
      <c r="K153" s="309"/>
      <c r="L153" s="310"/>
    </row>
    <row r="154" spans="10:12" x14ac:dyDescent="0.2">
      <c r="J154" s="309"/>
      <c r="K154" s="309"/>
      <c r="L154" s="310"/>
    </row>
    <row r="155" spans="10:12" x14ac:dyDescent="0.2">
      <c r="J155" s="309"/>
      <c r="K155" s="309"/>
      <c r="L155" s="310"/>
    </row>
    <row r="156" spans="10:12" x14ac:dyDescent="0.2">
      <c r="J156" s="309"/>
      <c r="K156" s="309"/>
      <c r="L156" s="310"/>
    </row>
    <row r="157" spans="10:12" x14ac:dyDescent="0.2">
      <c r="J157" s="309"/>
      <c r="K157" s="309"/>
      <c r="L157" s="310"/>
    </row>
    <row r="158" spans="10:12" x14ac:dyDescent="0.2">
      <c r="J158" s="309"/>
      <c r="K158" s="309"/>
      <c r="L158" s="310"/>
    </row>
    <row r="159" spans="10:12" x14ac:dyDescent="0.2">
      <c r="J159" s="309"/>
      <c r="K159" s="309"/>
      <c r="L159" s="310"/>
    </row>
    <row r="160" spans="10:12" x14ac:dyDescent="0.2">
      <c r="J160" s="309"/>
      <c r="K160" s="309"/>
      <c r="L160" s="310"/>
    </row>
    <row r="161" spans="10:12" x14ac:dyDescent="0.2">
      <c r="J161" s="309"/>
      <c r="K161" s="309"/>
      <c r="L161" s="310"/>
    </row>
    <row r="162" spans="10:12" x14ac:dyDescent="0.2">
      <c r="J162" s="309"/>
      <c r="K162" s="309"/>
      <c r="L162" s="310"/>
    </row>
    <row r="163" spans="10:12" x14ac:dyDescent="0.2">
      <c r="J163" s="309"/>
      <c r="K163" s="309"/>
      <c r="L163" s="310"/>
    </row>
    <row r="164" spans="10:12" x14ac:dyDescent="0.2">
      <c r="J164" s="309"/>
      <c r="K164" s="309"/>
      <c r="L164" s="310"/>
    </row>
    <row r="165" spans="10:12" x14ac:dyDescent="0.2">
      <c r="J165" s="309"/>
      <c r="K165" s="309"/>
      <c r="L165" s="310"/>
    </row>
    <row r="166" spans="10:12" x14ac:dyDescent="0.2">
      <c r="J166" s="309"/>
      <c r="K166" s="309"/>
      <c r="L166" s="310"/>
    </row>
    <row r="167" spans="10:12" x14ac:dyDescent="0.2">
      <c r="J167" s="309"/>
      <c r="K167" s="309"/>
      <c r="L167" s="310"/>
    </row>
    <row r="168" spans="10:12" x14ac:dyDescent="0.2">
      <c r="J168" s="309"/>
      <c r="K168" s="309"/>
      <c r="L168" s="310"/>
    </row>
    <row r="169" spans="10:12" x14ac:dyDescent="0.2">
      <c r="J169" s="309"/>
      <c r="K169" s="309"/>
      <c r="L169" s="310"/>
    </row>
    <row r="170" spans="10:12" x14ac:dyDescent="0.2">
      <c r="J170" s="309"/>
      <c r="K170" s="309"/>
      <c r="L170" s="310"/>
    </row>
    <row r="171" spans="10:12" x14ac:dyDescent="0.2">
      <c r="J171" s="309"/>
      <c r="K171" s="309"/>
      <c r="L171" s="310"/>
    </row>
    <row r="172" spans="10:12" x14ac:dyDescent="0.2">
      <c r="J172" s="309"/>
      <c r="K172" s="309"/>
      <c r="L172" s="310"/>
    </row>
    <row r="173" spans="10:12" x14ac:dyDescent="0.2">
      <c r="J173" s="309"/>
      <c r="K173" s="309"/>
      <c r="L173" s="310"/>
    </row>
    <row r="174" spans="10:12" x14ac:dyDescent="0.2">
      <c r="J174" s="309"/>
      <c r="K174" s="309"/>
      <c r="L174" s="310"/>
    </row>
    <row r="175" spans="10:12" x14ac:dyDescent="0.2">
      <c r="J175" s="309"/>
      <c r="K175" s="309"/>
      <c r="L175" s="310"/>
    </row>
    <row r="176" spans="10:12" x14ac:dyDescent="0.2">
      <c r="J176" s="309"/>
      <c r="K176" s="309"/>
      <c r="L176" s="310"/>
    </row>
    <row r="177" spans="10:12" x14ac:dyDescent="0.2">
      <c r="J177" s="309"/>
      <c r="K177" s="309"/>
      <c r="L177" s="310"/>
    </row>
    <row r="178" spans="10:12" x14ac:dyDescent="0.2">
      <c r="J178" s="309"/>
      <c r="K178" s="309"/>
      <c r="L178" s="310"/>
    </row>
    <row r="179" spans="10:12" x14ac:dyDescent="0.2">
      <c r="J179" s="309"/>
      <c r="K179" s="309"/>
      <c r="L179" s="310"/>
    </row>
    <row r="180" spans="10:12" x14ac:dyDescent="0.2">
      <c r="J180" s="309"/>
      <c r="K180" s="309"/>
      <c r="L180" s="310"/>
    </row>
    <row r="181" spans="10:12" x14ac:dyDescent="0.2">
      <c r="J181" s="309"/>
      <c r="K181" s="309"/>
      <c r="L181" s="310"/>
    </row>
    <row r="182" spans="10:12" x14ac:dyDescent="0.2">
      <c r="J182" s="309"/>
      <c r="K182" s="309"/>
      <c r="L182" s="310"/>
    </row>
    <row r="183" spans="10:12" x14ac:dyDescent="0.2">
      <c r="J183" s="309"/>
      <c r="K183" s="309"/>
      <c r="L183" s="310"/>
    </row>
    <row r="184" spans="10:12" x14ac:dyDescent="0.2">
      <c r="J184" s="309"/>
      <c r="K184" s="309"/>
      <c r="L184" s="310"/>
    </row>
    <row r="185" spans="10:12" x14ac:dyDescent="0.2">
      <c r="J185" s="309"/>
      <c r="K185" s="309"/>
      <c r="L185" s="310"/>
    </row>
    <row r="186" spans="10:12" x14ac:dyDescent="0.2">
      <c r="J186" s="309"/>
      <c r="K186" s="309"/>
      <c r="L186" s="310"/>
    </row>
    <row r="187" spans="10:12" x14ac:dyDescent="0.2">
      <c r="J187" s="309"/>
      <c r="K187" s="309"/>
      <c r="L187" s="310"/>
    </row>
    <row r="188" spans="10:12" x14ac:dyDescent="0.2">
      <c r="J188" s="309"/>
      <c r="K188" s="309"/>
      <c r="L188" s="310"/>
    </row>
    <row r="189" spans="10:12" x14ac:dyDescent="0.2">
      <c r="J189" s="309"/>
      <c r="K189" s="309"/>
      <c r="L189" s="310"/>
    </row>
    <row r="190" spans="10:12" x14ac:dyDescent="0.2">
      <c r="J190" s="309"/>
      <c r="K190" s="309"/>
      <c r="L190" s="310"/>
    </row>
    <row r="191" spans="10:12" x14ac:dyDescent="0.2">
      <c r="J191" s="309"/>
      <c r="K191" s="309"/>
      <c r="L191" s="310"/>
    </row>
    <row r="192" spans="10:12" x14ac:dyDescent="0.2">
      <c r="J192" s="309"/>
      <c r="K192" s="309"/>
      <c r="L192" s="310"/>
    </row>
    <row r="193" spans="10:12" x14ac:dyDescent="0.2">
      <c r="J193" s="309"/>
      <c r="K193" s="309"/>
      <c r="L193" s="310"/>
    </row>
    <row r="194" spans="10:12" x14ac:dyDescent="0.2">
      <c r="J194" s="309"/>
      <c r="K194" s="309"/>
      <c r="L194" s="310"/>
    </row>
    <row r="195" spans="10:12" x14ac:dyDescent="0.2">
      <c r="J195" s="309"/>
      <c r="K195" s="309"/>
      <c r="L195" s="310"/>
    </row>
    <row r="196" spans="10:12" x14ac:dyDescent="0.2">
      <c r="J196" s="309"/>
      <c r="K196" s="309"/>
      <c r="L196" s="310"/>
    </row>
    <row r="197" spans="10:12" x14ac:dyDescent="0.2">
      <c r="J197" s="309"/>
      <c r="K197" s="309"/>
      <c r="L197" s="310"/>
    </row>
    <row r="198" spans="10:12" x14ac:dyDescent="0.2">
      <c r="J198" s="309"/>
      <c r="K198" s="309"/>
      <c r="L198" s="310"/>
    </row>
    <row r="199" spans="10:12" x14ac:dyDescent="0.2">
      <c r="J199" s="309"/>
      <c r="K199" s="309"/>
      <c r="L199" s="310"/>
    </row>
    <row r="200" spans="10:12" x14ac:dyDescent="0.2">
      <c r="J200" s="309"/>
      <c r="K200" s="309"/>
      <c r="L200" s="310"/>
    </row>
    <row r="201" spans="10:12" x14ac:dyDescent="0.2">
      <c r="J201" s="309"/>
      <c r="K201" s="309"/>
      <c r="L201" s="310"/>
    </row>
    <row r="202" spans="10:12" x14ac:dyDescent="0.2">
      <c r="J202" s="309"/>
      <c r="K202" s="309"/>
      <c r="L202" s="310"/>
    </row>
    <row r="203" spans="10:12" x14ac:dyDescent="0.2">
      <c r="J203" s="309"/>
      <c r="K203" s="309"/>
      <c r="L203" s="310"/>
    </row>
    <row r="204" spans="10:12" x14ac:dyDescent="0.2">
      <c r="J204" s="309"/>
      <c r="K204" s="309"/>
      <c r="L204" s="310"/>
    </row>
    <row r="205" spans="10:12" x14ac:dyDescent="0.2">
      <c r="J205" s="309"/>
      <c r="K205" s="309"/>
      <c r="L205" s="310"/>
    </row>
    <row r="206" spans="10:12" x14ac:dyDescent="0.2">
      <c r="J206" s="309"/>
      <c r="K206" s="309"/>
      <c r="L206" s="310"/>
    </row>
    <row r="207" spans="10:12" x14ac:dyDescent="0.2">
      <c r="J207" s="309"/>
      <c r="K207" s="309"/>
      <c r="L207" s="310"/>
    </row>
    <row r="208" spans="10:12" x14ac:dyDescent="0.2">
      <c r="J208" s="309"/>
      <c r="K208" s="309"/>
      <c r="L208" s="310"/>
    </row>
    <row r="209" spans="10:12" x14ac:dyDescent="0.2">
      <c r="J209" s="309"/>
      <c r="K209" s="309"/>
      <c r="L209" s="310"/>
    </row>
    <row r="210" spans="10:12" x14ac:dyDescent="0.2">
      <c r="J210" s="309"/>
      <c r="K210" s="309"/>
      <c r="L210" s="310"/>
    </row>
    <row r="211" spans="10:12" x14ac:dyDescent="0.2">
      <c r="J211" s="309"/>
      <c r="K211" s="309"/>
      <c r="L211" s="310"/>
    </row>
    <row r="212" spans="10:12" x14ac:dyDescent="0.2">
      <c r="J212" s="309"/>
      <c r="K212" s="309"/>
      <c r="L212" s="310"/>
    </row>
    <row r="213" spans="10:12" x14ac:dyDescent="0.2">
      <c r="J213" s="309"/>
      <c r="K213" s="309"/>
      <c r="L213" s="310"/>
    </row>
    <row r="214" spans="10:12" x14ac:dyDescent="0.2">
      <c r="J214" s="309"/>
      <c r="K214" s="309"/>
      <c r="L214" s="310"/>
    </row>
    <row r="215" spans="10:12" x14ac:dyDescent="0.2">
      <c r="J215" s="309"/>
      <c r="K215" s="309"/>
      <c r="L215" s="310"/>
    </row>
    <row r="216" spans="10:12" x14ac:dyDescent="0.2">
      <c r="J216" s="309"/>
      <c r="K216" s="309"/>
      <c r="L216" s="310"/>
    </row>
    <row r="217" spans="10:12" x14ac:dyDescent="0.2">
      <c r="J217" s="309"/>
      <c r="K217" s="309"/>
      <c r="L217" s="310"/>
    </row>
    <row r="218" spans="10:12" x14ac:dyDescent="0.2">
      <c r="J218" s="309"/>
      <c r="K218" s="309"/>
      <c r="L218" s="310"/>
    </row>
    <row r="219" spans="10:12" x14ac:dyDescent="0.2">
      <c r="J219" s="309"/>
      <c r="K219" s="309"/>
      <c r="L219" s="310"/>
    </row>
    <row r="220" spans="10:12" x14ac:dyDescent="0.2">
      <c r="J220" s="309"/>
      <c r="K220" s="309"/>
      <c r="L220" s="310"/>
    </row>
    <row r="221" spans="10:12" x14ac:dyDescent="0.2">
      <c r="J221" s="309"/>
      <c r="K221" s="309"/>
      <c r="L221" s="310"/>
    </row>
    <row r="222" spans="10:12" x14ac:dyDescent="0.2">
      <c r="J222" s="309"/>
      <c r="K222" s="309"/>
      <c r="L222" s="310"/>
    </row>
    <row r="223" spans="10:12" x14ac:dyDescent="0.2">
      <c r="J223" s="309"/>
      <c r="K223" s="309"/>
      <c r="L223" s="310"/>
    </row>
    <row r="224" spans="10:12" x14ac:dyDescent="0.2">
      <c r="J224" s="309"/>
      <c r="K224" s="309"/>
      <c r="L224" s="310"/>
    </row>
    <row r="225" spans="10:12" x14ac:dyDescent="0.2">
      <c r="J225" s="309"/>
      <c r="K225" s="309"/>
      <c r="L225" s="310"/>
    </row>
    <row r="226" spans="10:12" x14ac:dyDescent="0.2">
      <c r="J226" s="309"/>
      <c r="K226" s="309"/>
      <c r="L226" s="310"/>
    </row>
    <row r="227" spans="10:12" x14ac:dyDescent="0.2">
      <c r="J227" s="309"/>
      <c r="K227" s="309"/>
      <c r="L227" s="310"/>
    </row>
    <row r="228" spans="10:12" x14ac:dyDescent="0.2">
      <c r="J228" s="309"/>
      <c r="K228" s="309"/>
      <c r="L228" s="310"/>
    </row>
    <row r="229" spans="10:12" x14ac:dyDescent="0.2">
      <c r="J229" s="309"/>
      <c r="K229" s="309"/>
      <c r="L229" s="310"/>
    </row>
    <row r="230" spans="10:12" x14ac:dyDescent="0.2">
      <c r="J230" s="309"/>
      <c r="K230" s="309"/>
      <c r="L230" s="310"/>
    </row>
    <row r="231" spans="10:12" x14ac:dyDescent="0.2">
      <c r="J231" s="309"/>
      <c r="K231" s="309"/>
      <c r="L231" s="310"/>
    </row>
    <row r="232" spans="10:12" x14ac:dyDescent="0.2">
      <c r="J232" s="309"/>
      <c r="K232" s="309"/>
      <c r="L232" s="310"/>
    </row>
    <row r="233" spans="10:12" x14ac:dyDescent="0.2">
      <c r="J233" s="309"/>
      <c r="K233" s="309"/>
      <c r="L233" s="310"/>
    </row>
    <row r="234" spans="10:12" x14ac:dyDescent="0.2">
      <c r="J234" s="309"/>
      <c r="K234" s="309"/>
      <c r="L234" s="310"/>
    </row>
    <row r="235" spans="10:12" x14ac:dyDescent="0.2">
      <c r="J235" s="309"/>
      <c r="K235" s="309"/>
      <c r="L235" s="310"/>
    </row>
    <row r="236" spans="10:12" x14ac:dyDescent="0.2">
      <c r="J236" s="309"/>
      <c r="K236" s="309"/>
      <c r="L236" s="310"/>
    </row>
    <row r="237" spans="10:12" x14ac:dyDescent="0.2">
      <c r="J237" s="309"/>
      <c r="K237" s="309"/>
      <c r="L237" s="310"/>
    </row>
    <row r="238" spans="10:12" x14ac:dyDescent="0.2">
      <c r="J238" s="309"/>
      <c r="K238" s="309"/>
      <c r="L238" s="310"/>
    </row>
    <row r="239" spans="10:12" x14ac:dyDescent="0.2">
      <c r="J239" s="309"/>
      <c r="K239" s="309"/>
      <c r="L239" s="310"/>
    </row>
    <row r="240" spans="10:12" x14ac:dyDescent="0.2">
      <c r="J240" s="309"/>
      <c r="K240" s="309"/>
      <c r="L240" s="310"/>
    </row>
    <row r="241" spans="10:12" x14ac:dyDescent="0.2">
      <c r="J241" s="309"/>
      <c r="K241" s="309"/>
      <c r="L241" s="310"/>
    </row>
    <row r="242" spans="10:12" x14ac:dyDescent="0.2">
      <c r="J242" s="309"/>
      <c r="K242" s="309"/>
      <c r="L242" s="310"/>
    </row>
    <row r="243" spans="10:12" x14ac:dyDescent="0.2">
      <c r="J243" s="309"/>
      <c r="K243" s="309"/>
      <c r="L243" s="310"/>
    </row>
    <row r="244" spans="10:12" x14ac:dyDescent="0.2">
      <c r="J244" s="309"/>
      <c r="K244" s="309"/>
      <c r="L244" s="310"/>
    </row>
    <row r="245" spans="10:12" x14ac:dyDescent="0.2">
      <c r="J245" s="309"/>
      <c r="K245" s="309"/>
      <c r="L245" s="310"/>
    </row>
    <row r="246" spans="10:12" x14ac:dyDescent="0.2">
      <c r="J246" s="309"/>
      <c r="K246" s="309"/>
      <c r="L246" s="310"/>
    </row>
    <row r="247" spans="10:12" x14ac:dyDescent="0.2">
      <c r="J247" s="309"/>
      <c r="K247" s="309"/>
      <c r="L247" s="310"/>
    </row>
    <row r="248" spans="10:12" x14ac:dyDescent="0.2">
      <c r="J248" s="309"/>
      <c r="K248" s="309"/>
      <c r="L248" s="310"/>
    </row>
    <row r="249" spans="10:12" x14ac:dyDescent="0.2">
      <c r="J249" s="309"/>
      <c r="K249" s="309"/>
      <c r="L249" s="310"/>
    </row>
    <row r="250" spans="10:12" x14ac:dyDescent="0.2">
      <c r="J250" s="309"/>
      <c r="K250" s="309"/>
      <c r="L250" s="310"/>
    </row>
    <row r="251" spans="10:12" x14ac:dyDescent="0.2">
      <c r="J251" s="309"/>
      <c r="K251" s="309"/>
      <c r="L251" s="310"/>
    </row>
    <row r="252" spans="10:12" x14ac:dyDescent="0.2">
      <c r="J252" s="309"/>
      <c r="K252" s="309"/>
      <c r="L252" s="310"/>
    </row>
    <row r="253" spans="10:12" x14ac:dyDescent="0.2">
      <c r="J253" s="309"/>
      <c r="K253" s="309"/>
      <c r="L253" s="310"/>
    </row>
    <row r="254" spans="10:12" x14ac:dyDescent="0.2">
      <c r="J254" s="309"/>
      <c r="K254" s="309"/>
      <c r="L254" s="310"/>
    </row>
    <row r="255" spans="10:12" x14ac:dyDescent="0.2">
      <c r="J255" s="309"/>
      <c r="K255" s="309"/>
      <c r="L255" s="310"/>
    </row>
    <row r="256" spans="10:12" x14ac:dyDescent="0.2">
      <c r="J256" s="309"/>
      <c r="K256" s="309"/>
      <c r="L256" s="310"/>
    </row>
    <row r="257" spans="10:12" x14ac:dyDescent="0.2">
      <c r="J257" s="309"/>
      <c r="K257" s="309"/>
      <c r="L257" s="310"/>
    </row>
    <row r="258" spans="10:12" x14ac:dyDescent="0.2">
      <c r="J258" s="309"/>
      <c r="K258" s="309"/>
      <c r="L258" s="310"/>
    </row>
    <row r="259" spans="10:12" x14ac:dyDescent="0.2">
      <c r="J259" s="309"/>
      <c r="K259" s="309"/>
      <c r="L259" s="310"/>
    </row>
    <row r="260" spans="10:12" x14ac:dyDescent="0.2">
      <c r="J260" s="309"/>
      <c r="K260" s="309"/>
      <c r="L260" s="310"/>
    </row>
    <row r="261" spans="10:12" x14ac:dyDescent="0.2">
      <c r="J261" s="309"/>
      <c r="K261" s="309"/>
      <c r="L261" s="310"/>
    </row>
    <row r="262" spans="10:12" x14ac:dyDescent="0.2">
      <c r="J262" s="309"/>
      <c r="K262" s="309"/>
      <c r="L262" s="310"/>
    </row>
    <row r="263" spans="10:12" x14ac:dyDescent="0.2">
      <c r="J263" s="309"/>
      <c r="K263" s="309"/>
      <c r="L263" s="310"/>
    </row>
    <row r="264" spans="10:12" x14ac:dyDescent="0.2">
      <c r="J264" s="309"/>
      <c r="K264" s="309"/>
      <c r="L264" s="310"/>
    </row>
    <row r="265" spans="10:12" x14ac:dyDescent="0.2">
      <c r="J265" s="309"/>
      <c r="K265" s="309"/>
      <c r="L265" s="310"/>
    </row>
    <row r="266" spans="10:12" x14ac:dyDescent="0.2">
      <c r="J266" s="309"/>
      <c r="K266" s="309"/>
      <c r="L266" s="310"/>
    </row>
    <row r="267" spans="10:12" x14ac:dyDescent="0.2">
      <c r="J267" s="309"/>
      <c r="K267" s="309"/>
      <c r="L267" s="310"/>
    </row>
    <row r="268" spans="10:12" x14ac:dyDescent="0.2">
      <c r="J268" s="309"/>
      <c r="K268" s="309"/>
      <c r="L268" s="310"/>
    </row>
    <row r="269" spans="10:12" x14ac:dyDescent="0.2">
      <c r="J269" s="309"/>
      <c r="K269" s="309"/>
      <c r="L269" s="310"/>
    </row>
    <row r="270" spans="10:12" x14ac:dyDescent="0.2">
      <c r="J270" s="309"/>
      <c r="K270" s="309"/>
      <c r="L270" s="310"/>
    </row>
    <row r="271" spans="10:12" x14ac:dyDescent="0.2">
      <c r="J271" s="309"/>
      <c r="K271" s="309"/>
      <c r="L271" s="310"/>
    </row>
    <row r="272" spans="10:12" x14ac:dyDescent="0.2">
      <c r="J272" s="309"/>
      <c r="K272" s="309"/>
      <c r="L272" s="310"/>
    </row>
    <row r="273" spans="10:12" x14ac:dyDescent="0.2">
      <c r="J273" s="309"/>
      <c r="K273" s="309"/>
      <c r="L273" s="310"/>
    </row>
    <row r="274" spans="10:12" x14ac:dyDescent="0.2">
      <c r="J274" s="309"/>
      <c r="K274" s="309"/>
      <c r="L274" s="310"/>
    </row>
    <row r="275" spans="10:12" x14ac:dyDescent="0.2">
      <c r="J275" s="309"/>
      <c r="K275" s="309"/>
      <c r="L275" s="310"/>
    </row>
    <row r="276" spans="10:12" x14ac:dyDescent="0.2">
      <c r="J276" s="309"/>
      <c r="K276" s="309"/>
      <c r="L276" s="310"/>
    </row>
    <row r="277" spans="10:12" x14ac:dyDescent="0.2">
      <c r="J277" s="309"/>
      <c r="K277" s="309"/>
      <c r="L277" s="310"/>
    </row>
    <row r="278" spans="10:12" x14ac:dyDescent="0.2">
      <c r="J278" s="309"/>
      <c r="K278" s="309"/>
      <c r="L278" s="310"/>
    </row>
    <row r="279" spans="10:12" x14ac:dyDescent="0.2">
      <c r="J279" s="309"/>
      <c r="K279" s="309"/>
      <c r="L279" s="310"/>
    </row>
    <row r="280" spans="10:12" x14ac:dyDescent="0.2">
      <c r="J280" s="309"/>
      <c r="K280" s="309"/>
      <c r="L280" s="310"/>
    </row>
    <row r="281" spans="10:12" x14ac:dyDescent="0.2">
      <c r="J281" s="309"/>
      <c r="K281" s="309"/>
      <c r="L281" s="310"/>
    </row>
    <row r="282" spans="10:12" x14ac:dyDescent="0.2">
      <c r="J282" s="309"/>
      <c r="K282" s="309"/>
      <c r="L282" s="310"/>
    </row>
    <row r="283" spans="10:12" x14ac:dyDescent="0.2">
      <c r="J283" s="309"/>
      <c r="K283" s="309"/>
      <c r="L283" s="310"/>
    </row>
    <row r="284" spans="10:12" x14ac:dyDescent="0.2">
      <c r="J284" s="309"/>
      <c r="K284" s="309"/>
      <c r="L284" s="310"/>
    </row>
    <row r="285" spans="10:12" x14ac:dyDescent="0.2">
      <c r="J285" s="309"/>
      <c r="K285" s="309"/>
      <c r="L285" s="310"/>
    </row>
    <row r="286" spans="10:12" x14ac:dyDescent="0.2">
      <c r="J286" s="309"/>
      <c r="K286" s="309"/>
      <c r="L286" s="310"/>
    </row>
    <row r="287" spans="10:12" x14ac:dyDescent="0.2">
      <c r="J287" s="309"/>
      <c r="K287" s="309"/>
      <c r="L287" s="310"/>
    </row>
    <row r="288" spans="10:12" x14ac:dyDescent="0.2">
      <c r="J288" s="309"/>
      <c r="K288" s="309"/>
      <c r="L288" s="310"/>
    </row>
    <row r="289" spans="10:12" x14ac:dyDescent="0.2">
      <c r="J289" s="309"/>
      <c r="K289" s="309"/>
      <c r="L289" s="310"/>
    </row>
    <row r="290" spans="10:12" x14ac:dyDescent="0.2">
      <c r="J290" s="309"/>
      <c r="K290" s="309"/>
      <c r="L290" s="310"/>
    </row>
    <row r="291" spans="10:12" x14ac:dyDescent="0.2">
      <c r="J291" s="309"/>
      <c r="K291" s="309"/>
      <c r="L291" s="310"/>
    </row>
    <row r="292" spans="10:12" x14ac:dyDescent="0.2">
      <c r="J292" s="309"/>
      <c r="K292" s="309"/>
      <c r="L292" s="310"/>
    </row>
    <row r="293" spans="10:12" x14ac:dyDescent="0.2">
      <c r="J293" s="309"/>
      <c r="K293" s="309"/>
      <c r="L293" s="310"/>
    </row>
    <row r="294" spans="10:12" x14ac:dyDescent="0.2">
      <c r="J294" s="309"/>
      <c r="K294" s="309"/>
      <c r="L294" s="310"/>
    </row>
    <row r="295" spans="10:12" x14ac:dyDescent="0.2">
      <c r="J295" s="309"/>
      <c r="K295" s="309"/>
      <c r="L295" s="310"/>
    </row>
    <row r="296" spans="10:12" x14ac:dyDescent="0.2">
      <c r="J296" s="309"/>
      <c r="K296" s="309"/>
      <c r="L296" s="310"/>
    </row>
    <row r="297" spans="10:12" x14ac:dyDescent="0.2">
      <c r="J297" s="309"/>
      <c r="K297" s="309"/>
      <c r="L297" s="310"/>
    </row>
    <row r="298" spans="10:12" x14ac:dyDescent="0.2">
      <c r="J298" s="309"/>
      <c r="K298" s="309"/>
      <c r="L298" s="310"/>
    </row>
    <row r="299" spans="10:12" x14ac:dyDescent="0.2">
      <c r="J299" s="309"/>
      <c r="K299" s="309"/>
      <c r="L299" s="310"/>
    </row>
    <row r="300" spans="10:12" x14ac:dyDescent="0.2">
      <c r="J300" s="309"/>
      <c r="K300" s="309"/>
      <c r="L300" s="310"/>
    </row>
    <row r="301" spans="10:12" x14ac:dyDescent="0.2">
      <c r="J301" s="309"/>
      <c r="K301" s="309"/>
      <c r="L301" s="310"/>
    </row>
    <row r="302" spans="10:12" x14ac:dyDescent="0.2">
      <c r="J302" s="309"/>
      <c r="K302" s="309"/>
      <c r="L302" s="310"/>
    </row>
    <row r="303" spans="10:12" x14ac:dyDescent="0.2">
      <c r="J303" s="309"/>
      <c r="K303" s="309"/>
      <c r="L303" s="310"/>
    </row>
    <row r="304" spans="10:12" x14ac:dyDescent="0.2">
      <c r="J304" s="309"/>
      <c r="K304" s="309"/>
      <c r="L304" s="310"/>
    </row>
    <row r="305" spans="10:12" x14ac:dyDescent="0.2">
      <c r="J305" s="309"/>
      <c r="K305" s="309"/>
      <c r="L305" s="310"/>
    </row>
    <row r="306" spans="10:12" x14ac:dyDescent="0.2">
      <c r="J306" s="309"/>
      <c r="K306" s="309"/>
      <c r="L306" s="310"/>
    </row>
    <row r="307" spans="10:12" x14ac:dyDescent="0.2">
      <c r="J307" s="309"/>
      <c r="K307" s="309"/>
      <c r="L307" s="310"/>
    </row>
    <row r="308" spans="10:12" x14ac:dyDescent="0.2">
      <c r="J308" s="309"/>
      <c r="K308" s="309"/>
      <c r="L308" s="310"/>
    </row>
    <row r="309" spans="10:12" x14ac:dyDescent="0.2">
      <c r="J309" s="309"/>
      <c r="K309" s="309"/>
      <c r="L309" s="310"/>
    </row>
    <row r="310" spans="10:12" x14ac:dyDescent="0.2">
      <c r="J310" s="309"/>
      <c r="K310" s="309"/>
      <c r="L310" s="310"/>
    </row>
    <row r="311" spans="10:12" x14ac:dyDescent="0.2">
      <c r="J311" s="309"/>
      <c r="K311" s="309"/>
      <c r="L311" s="310"/>
    </row>
    <row r="312" spans="10:12" x14ac:dyDescent="0.2">
      <c r="J312" s="309"/>
      <c r="K312" s="309"/>
      <c r="L312" s="310"/>
    </row>
    <row r="313" spans="10:12" x14ac:dyDescent="0.2">
      <c r="J313" s="309"/>
      <c r="K313" s="309"/>
      <c r="L313" s="310"/>
    </row>
    <row r="314" spans="10:12" x14ac:dyDescent="0.2">
      <c r="J314" s="309"/>
      <c r="K314" s="309"/>
      <c r="L314" s="310"/>
    </row>
    <row r="315" spans="10:12" x14ac:dyDescent="0.2">
      <c r="J315" s="309"/>
      <c r="K315" s="309"/>
      <c r="L315" s="310"/>
    </row>
    <row r="316" spans="10:12" x14ac:dyDescent="0.2">
      <c r="J316" s="309"/>
      <c r="K316" s="309"/>
      <c r="L316" s="310"/>
    </row>
    <row r="317" spans="10:12" x14ac:dyDescent="0.2">
      <c r="J317" s="309"/>
      <c r="K317" s="309"/>
      <c r="L317" s="310"/>
    </row>
    <row r="318" spans="10:12" x14ac:dyDescent="0.2">
      <c r="J318" s="309"/>
      <c r="K318" s="309"/>
      <c r="L318" s="310"/>
    </row>
    <row r="319" spans="10:12" x14ac:dyDescent="0.2">
      <c r="J319" s="309"/>
      <c r="K319" s="309"/>
      <c r="L319" s="310"/>
    </row>
    <row r="320" spans="10:12" x14ac:dyDescent="0.2">
      <c r="J320" s="309"/>
      <c r="K320" s="309"/>
      <c r="L320" s="310"/>
    </row>
    <row r="321" spans="10:12" x14ac:dyDescent="0.2">
      <c r="J321" s="309"/>
      <c r="K321" s="309"/>
      <c r="L321" s="310"/>
    </row>
    <row r="322" spans="10:12" x14ac:dyDescent="0.2">
      <c r="J322" s="309"/>
      <c r="K322" s="309"/>
      <c r="L322" s="310"/>
    </row>
    <row r="323" spans="10:12" x14ac:dyDescent="0.2">
      <c r="J323" s="309"/>
      <c r="K323" s="309"/>
      <c r="L323" s="310"/>
    </row>
    <row r="324" spans="10:12" x14ac:dyDescent="0.2">
      <c r="J324" s="309"/>
      <c r="K324" s="309"/>
      <c r="L324" s="310"/>
    </row>
    <row r="325" spans="10:12" x14ac:dyDescent="0.2">
      <c r="J325" s="309"/>
      <c r="K325" s="309"/>
      <c r="L325" s="310"/>
    </row>
    <row r="326" spans="10:12" x14ac:dyDescent="0.2">
      <c r="J326" s="309"/>
      <c r="K326" s="309"/>
      <c r="L326" s="310"/>
    </row>
    <row r="327" spans="10:12" x14ac:dyDescent="0.2">
      <c r="J327" s="309"/>
      <c r="K327" s="309"/>
      <c r="L327" s="310"/>
    </row>
    <row r="328" spans="10:12" x14ac:dyDescent="0.2">
      <c r="J328" s="309"/>
      <c r="K328" s="309"/>
      <c r="L328" s="310"/>
    </row>
    <row r="329" spans="10:12" x14ac:dyDescent="0.2">
      <c r="J329" s="309"/>
      <c r="K329" s="309"/>
      <c r="L329" s="310"/>
    </row>
    <row r="330" spans="10:12" x14ac:dyDescent="0.2">
      <c r="J330" s="309"/>
      <c r="K330" s="309"/>
      <c r="L330" s="310"/>
    </row>
    <row r="331" spans="10:12" x14ac:dyDescent="0.2">
      <c r="J331" s="309"/>
      <c r="K331" s="309"/>
      <c r="L331" s="310"/>
    </row>
    <row r="332" spans="10:12" x14ac:dyDescent="0.2">
      <c r="J332" s="309"/>
      <c r="K332" s="309"/>
      <c r="L332" s="310"/>
    </row>
    <row r="333" spans="10:12" x14ac:dyDescent="0.2">
      <c r="J333" s="309"/>
      <c r="K333" s="309"/>
      <c r="L333" s="310"/>
    </row>
    <row r="334" spans="10:12" x14ac:dyDescent="0.2">
      <c r="J334" s="309"/>
      <c r="K334" s="309"/>
      <c r="L334" s="310"/>
    </row>
    <row r="335" spans="10:12" x14ac:dyDescent="0.2">
      <c r="J335" s="309"/>
      <c r="K335" s="309"/>
      <c r="L335" s="310"/>
    </row>
    <row r="336" spans="10:12" x14ac:dyDescent="0.2">
      <c r="J336" s="309"/>
      <c r="K336" s="309"/>
      <c r="L336" s="310"/>
    </row>
    <row r="337" spans="10:12" x14ac:dyDescent="0.2">
      <c r="J337" s="309"/>
      <c r="K337" s="309"/>
      <c r="L337" s="310"/>
    </row>
    <row r="338" spans="10:12" x14ac:dyDescent="0.2">
      <c r="J338" s="309"/>
      <c r="K338" s="309"/>
      <c r="L338" s="310"/>
    </row>
    <row r="339" spans="10:12" x14ac:dyDescent="0.2">
      <c r="J339" s="309"/>
      <c r="K339" s="309"/>
      <c r="L339" s="310"/>
    </row>
    <row r="340" spans="10:12" x14ac:dyDescent="0.2">
      <c r="J340" s="309"/>
      <c r="K340" s="309"/>
      <c r="L340" s="310"/>
    </row>
    <row r="341" spans="10:12" x14ac:dyDescent="0.2">
      <c r="J341" s="309"/>
      <c r="K341" s="309"/>
      <c r="L341" s="310"/>
    </row>
    <row r="342" spans="10:12" x14ac:dyDescent="0.2">
      <c r="J342" s="309"/>
      <c r="K342" s="309"/>
      <c r="L342" s="310"/>
    </row>
    <row r="343" spans="10:12" x14ac:dyDescent="0.2">
      <c r="J343" s="309"/>
      <c r="K343" s="309"/>
      <c r="L343" s="310"/>
    </row>
    <row r="344" spans="10:12" x14ac:dyDescent="0.2">
      <c r="J344" s="309"/>
      <c r="K344" s="309"/>
      <c r="L344" s="310"/>
    </row>
    <row r="345" spans="10:12" x14ac:dyDescent="0.2">
      <c r="J345" s="309"/>
      <c r="K345" s="309"/>
      <c r="L345" s="310"/>
    </row>
    <row r="346" spans="10:12" x14ac:dyDescent="0.2">
      <c r="J346" s="309"/>
      <c r="K346" s="309"/>
      <c r="L346" s="310"/>
    </row>
    <row r="347" spans="10:12" x14ac:dyDescent="0.2">
      <c r="J347" s="309"/>
      <c r="K347" s="309"/>
      <c r="L347" s="310"/>
    </row>
    <row r="348" spans="10:12" x14ac:dyDescent="0.2">
      <c r="J348" s="309"/>
      <c r="K348" s="309"/>
      <c r="L348" s="310"/>
    </row>
    <row r="349" spans="10:12" x14ac:dyDescent="0.2">
      <c r="J349" s="309"/>
      <c r="K349" s="309"/>
      <c r="L349" s="310"/>
    </row>
    <row r="350" spans="10:12" x14ac:dyDescent="0.2">
      <c r="J350" s="309"/>
      <c r="K350" s="309"/>
      <c r="L350" s="310"/>
    </row>
    <row r="351" spans="10:12" x14ac:dyDescent="0.2">
      <c r="J351" s="309"/>
      <c r="K351" s="309"/>
      <c r="L351" s="310"/>
    </row>
    <row r="352" spans="10:12" x14ac:dyDescent="0.2">
      <c r="J352" s="309"/>
      <c r="K352" s="309"/>
      <c r="L352" s="310"/>
    </row>
    <row r="353" spans="10:12" x14ac:dyDescent="0.2">
      <c r="J353" s="309"/>
      <c r="K353" s="309"/>
      <c r="L353" s="310"/>
    </row>
    <row r="354" spans="10:12" x14ac:dyDescent="0.2">
      <c r="J354" s="309"/>
      <c r="K354" s="309"/>
      <c r="L354" s="310"/>
    </row>
    <row r="355" spans="10:12" x14ac:dyDescent="0.2">
      <c r="J355" s="309"/>
      <c r="K355" s="309"/>
      <c r="L355" s="310"/>
    </row>
    <row r="356" spans="10:12" x14ac:dyDescent="0.2">
      <c r="J356" s="309"/>
      <c r="K356" s="309"/>
      <c r="L356" s="310"/>
    </row>
    <row r="357" spans="10:12" x14ac:dyDescent="0.2">
      <c r="J357" s="309"/>
      <c r="K357" s="309"/>
      <c r="L357" s="310"/>
    </row>
    <row r="358" spans="10:12" x14ac:dyDescent="0.2">
      <c r="J358" s="309"/>
      <c r="K358" s="309"/>
      <c r="L358" s="310"/>
    </row>
    <row r="359" spans="10:12" x14ac:dyDescent="0.2">
      <c r="J359" s="309"/>
      <c r="K359" s="309"/>
      <c r="L359" s="310"/>
    </row>
    <row r="360" spans="10:12" x14ac:dyDescent="0.2">
      <c r="J360" s="309"/>
      <c r="K360" s="309"/>
      <c r="L360" s="310"/>
    </row>
    <row r="361" spans="10:12" x14ac:dyDescent="0.2">
      <c r="J361" s="309"/>
      <c r="K361" s="309"/>
      <c r="L361" s="310"/>
    </row>
    <row r="362" spans="10:12" x14ac:dyDescent="0.2">
      <c r="J362" s="309"/>
      <c r="K362" s="309"/>
      <c r="L362" s="310"/>
    </row>
    <row r="363" spans="10:12" x14ac:dyDescent="0.2">
      <c r="J363" s="309"/>
      <c r="K363" s="309"/>
      <c r="L363" s="310"/>
    </row>
    <row r="364" spans="10:12" x14ac:dyDescent="0.2">
      <c r="J364" s="309"/>
      <c r="K364" s="309"/>
      <c r="L364" s="310"/>
    </row>
    <row r="365" spans="10:12" x14ac:dyDescent="0.2">
      <c r="J365" s="309"/>
      <c r="K365" s="309"/>
      <c r="L365" s="310"/>
    </row>
    <row r="366" spans="10:12" x14ac:dyDescent="0.2">
      <c r="J366" s="309"/>
      <c r="K366" s="309"/>
      <c r="L366" s="310"/>
    </row>
    <row r="367" spans="10:12" x14ac:dyDescent="0.2">
      <c r="J367" s="309"/>
      <c r="K367" s="309"/>
      <c r="L367" s="310"/>
    </row>
    <row r="368" spans="10:12" x14ac:dyDescent="0.2">
      <c r="J368" s="309"/>
      <c r="K368" s="309"/>
      <c r="L368" s="310"/>
    </row>
    <row r="369" spans="10:12" x14ac:dyDescent="0.2">
      <c r="J369" s="309"/>
      <c r="K369" s="309"/>
      <c r="L369" s="310"/>
    </row>
    <row r="370" spans="10:12" x14ac:dyDescent="0.2">
      <c r="J370" s="309"/>
      <c r="K370" s="309"/>
      <c r="L370" s="310"/>
    </row>
    <row r="371" spans="10:12" x14ac:dyDescent="0.2">
      <c r="J371" s="309"/>
      <c r="K371" s="309"/>
      <c r="L371" s="310"/>
    </row>
    <row r="372" spans="10:12" x14ac:dyDescent="0.2">
      <c r="J372" s="309"/>
      <c r="K372" s="309"/>
      <c r="L372" s="310"/>
    </row>
    <row r="373" spans="10:12" x14ac:dyDescent="0.2">
      <c r="J373" s="309"/>
      <c r="K373" s="309"/>
      <c r="L373" s="310"/>
    </row>
    <row r="374" spans="10:12" x14ac:dyDescent="0.2">
      <c r="J374" s="309"/>
      <c r="K374" s="309"/>
      <c r="L374" s="310"/>
    </row>
    <row r="375" spans="10:12" x14ac:dyDescent="0.2">
      <c r="J375" s="309"/>
      <c r="K375" s="309"/>
      <c r="L375" s="310"/>
    </row>
    <row r="376" spans="10:12" x14ac:dyDescent="0.2">
      <c r="J376" s="309"/>
      <c r="K376" s="309"/>
      <c r="L376" s="310"/>
    </row>
    <row r="377" spans="10:12" x14ac:dyDescent="0.2">
      <c r="J377" s="309"/>
      <c r="K377" s="309"/>
      <c r="L377" s="310"/>
    </row>
    <row r="378" spans="10:12" x14ac:dyDescent="0.2">
      <c r="J378" s="309"/>
      <c r="K378" s="309"/>
      <c r="L378" s="310"/>
    </row>
    <row r="379" spans="10:12" x14ac:dyDescent="0.2">
      <c r="J379" s="309"/>
      <c r="K379" s="309"/>
      <c r="L379" s="310"/>
    </row>
    <row r="380" spans="10:12" x14ac:dyDescent="0.2">
      <c r="J380" s="309"/>
      <c r="K380" s="309"/>
      <c r="L380" s="310"/>
    </row>
    <row r="381" spans="10:12" x14ac:dyDescent="0.2">
      <c r="J381" s="309"/>
      <c r="K381" s="309"/>
      <c r="L381" s="310"/>
    </row>
    <row r="382" spans="10:12" x14ac:dyDescent="0.2">
      <c r="J382" s="309"/>
      <c r="K382" s="309"/>
      <c r="L382" s="310"/>
    </row>
    <row r="383" spans="10:12" x14ac:dyDescent="0.2">
      <c r="J383" s="309"/>
      <c r="K383" s="309"/>
      <c r="L383" s="310"/>
    </row>
    <row r="384" spans="10:12" x14ac:dyDescent="0.2">
      <c r="J384" s="309"/>
      <c r="K384" s="309"/>
      <c r="L384" s="310"/>
    </row>
    <row r="385" spans="10:12" x14ac:dyDescent="0.2">
      <c r="J385" s="309"/>
      <c r="K385" s="309"/>
      <c r="L385" s="310"/>
    </row>
    <row r="386" spans="10:12" x14ac:dyDescent="0.2">
      <c r="J386" s="309"/>
      <c r="K386" s="309"/>
      <c r="L386" s="310"/>
    </row>
    <row r="387" spans="10:12" x14ac:dyDescent="0.2">
      <c r="J387" s="309"/>
      <c r="K387" s="309"/>
      <c r="L387" s="310"/>
    </row>
    <row r="388" spans="10:12" x14ac:dyDescent="0.2">
      <c r="J388" s="309"/>
      <c r="K388" s="309"/>
      <c r="L388" s="310"/>
    </row>
    <row r="389" spans="10:12" x14ac:dyDescent="0.2">
      <c r="J389" s="309"/>
      <c r="K389" s="309"/>
      <c r="L389" s="310"/>
    </row>
    <row r="390" spans="10:12" x14ac:dyDescent="0.2">
      <c r="J390" s="309"/>
      <c r="K390" s="309"/>
      <c r="L390" s="310"/>
    </row>
    <row r="391" spans="10:12" x14ac:dyDescent="0.2">
      <c r="J391" s="309"/>
      <c r="K391" s="309"/>
      <c r="L391" s="310"/>
    </row>
    <row r="392" spans="10:12" x14ac:dyDescent="0.2">
      <c r="J392" s="309"/>
      <c r="K392" s="309"/>
      <c r="L392" s="310"/>
    </row>
    <row r="393" spans="10:12" x14ac:dyDescent="0.2">
      <c r="J393" s="309"/>
      <c r="K393" s="309"/>
      <c r="L393" s="310"/>
    </row>
    <row r="394" spans="10:12" x14ac:dyDescent="0.2">
      <c r="J394" s="309"/>
      <c r="K394" s="309"/>
      <c r="L394" s="310"/>
    </row>
    <row r="395" spans="10:12" x14ac:dyDescent="0.2">
      <c r="J395" s="309"/>
      <c r="K395" s="309"/>
      <c r="L395" s="310"/>
    </row>
    <row r="396" spans="10:12" x14ac:dyDescent="0.2">
      <c r="J396" s="309"/>
      <c r="K396" s="309"/>
      <c r="L396" s="310"/>
    </row>
    <row r="397" spans="10:12" x14ac:dyDescent="0.2">
      <c r="J397" s="309"/>
      <c r="K397" s="309"/>
      <c r="L397" s="310"/>
    </row>
    <row r="398" spans="10:12" x14ac:dyDescent="0.2">
      <c r="J398" s="309"/>
      <c r="K398" s="309"/>
      <c r="L398" s="310"/>
    </row>
    <row r="399" spans="10:12" x14ac:dyDescent="0.2">
      <c r="J399" s="309"/>
      <c r="K399" s="309"/>
      <c r="L399" s="310"/>
    </row>
    <row r="400" spans="10:12" x14ac:dyDescent="0.2">
      <c r="J400" s="309"/>
      <c r="K400" s="309"/>
      <c r="L400" s="310"/>
    </row>
    <row r="401" spans="10:12" x14ac:dyDescent="0.2">
      <c r="J401" s="309"/>
      <c r="K401" s="309"/>
      <c r="L401" s="310"/>
    </row>
  </sheetData>
  <mergeCells count="12">
    <mergeCell ref="A22:E22"/>
    <mergeCell ref="D6:N6"/>
    <mergeCell ref="A20:B20"/>
    <mergeCell ref="A1:N1"/>
    <mergeCell ref="L8:N8"/>
    <mergeCell ref="I8:K8"/>
    <mergeCell ref="F8:H8"/>
    <mergeCell ref="A8:B9"/>
    <mergeCell ref="C8:E8"/>
    <mergeCell ref="D2:N2"/>
    <mergeCell ref="D3:N3"/>
    <mergeCell ref="D4:N4"/>
  </mergeCells>
  <printOptions horizontalCentered="1" verticalCentered="1"/>
  <pageMargins left="0" right="0" top="0.35433070866141736" bottom="0.35433070866141736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BB41-292D-45B1-8107-EC23241AA733}">
  <dimension ref="A1:J80"/>
  <sheetViews>
    <sheetView workbookViewId="0">
      <selection activeCell="C8" sqref="C8:D8"/>
    </sheetView>
  </sheetViews>
  <sheetFormatPr baseColWidth="10" defaultRowHeight="15" x14ac:dyDescent="0.2"/>
  <cols>
    <col min="1" max="1" width="6.5" bestFit="1" customWidth="1"/>
    <col min="2" max="2" width="40.33203125" customWidth="1"/>
    <col min="3" max="3" width="12.6640625" bestFit="1" customWidth="1"/>
    <col min="4" max="4" width="13.6640625" style="5" bestFit="1" customWidth="1"/>
    <col min="5" max="5" width="12.6640625" bestFit="1" customWidth="1"/>
    <col min="6" max="6" width="13.6640625" style="5" bestFit="1" customWidth="1"/>
    <col min="7" max="7" width="11.5" bestFit="1" customWidth="1"/>
    <col min="8" max="8" width="13.6640625" style="5" bestFit="1" customWidth="1"/>
    <col min="9" max="9" width="12.6640625" bestFit="1" customWidth="1"/>
    <col min="10" max="10" width="13.6640625" bestFit="1" customWidth="1"/>
  </cols>
  <sheetData>
    <row r="1" spans="1:10" x14ac:dyDescent="0.2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s="5" customFormat="1" ht="16" x14ac:dyDescent="0.2">
      <c r="A2" s="34"/>
      <c r="B2" s="10"/>
      <c r="C2" s="210" t="s">
        <v>133</v>
      </c>
      <c r="D2" s="210"/>
      <c r="E2" s="210"/>
      <c r="F2" s="210"/>
      <c r="G2" s="210"/>
      <c r="H2" s="210"/>
      <c r="I2" s="210"/>
      <c r="J2" s="210"/>
    </row>
    <row r="3" spans="1:10" ht="16" x14ac:dyDescent="0.2">
      <c r="A3" s="10"/>
      <c r="B3" s="10"/>
      <c r="C3" s="210" t="s">
        <v>136</v>
      </c>
      <c r="D3" s="210"/>
      <c r="E3" s="210"/>
      <c r="F3" s="210"/>
      <c r="G3" s="210"/>
      <c r="H3" s="210"/>
      <c r="I3" s="210"/>
      <c r="J3" s="210"/>
    </row>
    <row r="4" spans="1:10" s="5" customFormat="1" ht="16" x14ac:dyDescent="0.2">
      <c r="A4" s="6"/>
      <c r="B4" s="10"/>
      <c r="C4" s="210" t="s">
        <v>183</v>
      </c>
      <c r="D4" s="210"/>
      <c r="E4" s="210"/>
      <c r="F4" s="210"/>
      <c r="G4" s="210"/>
      <c r="H4" s="210"/>
      <c r="I4" s="210"/>
      <c r="J4" s="210"/>
    </row>
    <row r="5" spans="1:10" s="5" customFormat="1" ht="16" x14ac:dyDescent="0.2">
      <c r="A5" s="33"/>
      <c r="B5" s="33"/>
      <c r="C5" s="45"/>
      <c r="D5" s="123"/>
      <c r="E5" s="45"/>
      <c r="F5" s="123"/>
      <c r="G5" s="45"/>
      <c r="H5" s="123"/>
      <c r="I5" s="45"/>
    </row>
    <row r="6" spans="1:10" ht="16" x14ac:dyDescent="0.2">
      <c r="B6" s="44"/>
      <c r="C6" s="205" t="s">
        <v>100</v>
      </c>
      <c r="D6" s="205"/>
      <c r="E6" s="205"/>
      <c r="F6" s="205"/>
      <c r="G6" s="205"/>
      <c r="H6" s="205"/>
      <c r="I6" s="205"/>
      <c r="J6" s="205"/>
    </row>
    <row r="7" spans="1:10" x14ac:dyDescent="0.2">
      <c r="A7" s="4"/>
      <c r="B7" s="4"/>
      <c r="C7" s="4"/>
      <c r="D7" s="4"/>
      <c r="E7" s="4"/>
      <c r="F7" s="4"/>
      <c r="G7" s="4"/>
      <c r="H7" s="4"/>
      <c r="I7" s="4"/>
    </row>
    <row r="8" spans="1:10" x14ac:dyDescent="0.2">
      <c r="A8" s="211" t="s">
        <v>99</v>
      </c>
      <c r="B8" s="212"/>
      <c r="C8" s="215" t="s">
        <v>184</v>
      </c>
      <c r="D8" s="216"/>
      <c r="E8" s="217" t="s">
        <v>185</v>
      </c>
      <c r="F8" s="218"/>
      <c r="G8" s="215" t="s">
        <v>186</v>
      </c>
      <c r="H8" s="216"/>
      <c r="I8" s="228" t="s">
        <v>1</v>
      </c>
      <c r="J8" s="229"/>
    </row>
    <row r="9" spans="1:10" s="5" customFormat="1" ht="26.25" customHeight="1" x14ac:dyDescent="0.2">
      <c r="A9" s="213"/>
      <c r="B9" s="214"/>
      <c r="C9" s="124" t="s">
        <v>191</v>
      </c>
      <c r="D9" s="125" t="s">
        <v>193</v>
      </c>
      <c r="E9" s="126" t="s">
        <v>191</v>
      </c>
      <c r="F9" s="127" t="s">
        <v>193</v>
      </c>
      <c r="G9" s="124" t="s">
        <v>191</v>
      </c>
      <c r="H9" s="125" t="s">
        <v>193</v>
      </c>
      <c r="I9" s="128" t="s">
        <v>191</v>
      </c>
      <c r="J9" s="129" t="s">
        <v>193</v>
      </c>
    </row>
    <row r="10" spans="1:10" x14ac:dyDescent="0.2">
      <c r="A10" s="19" t="s">
        <v>23</v>
      </c>
      <c r="B10" s="148" t="s">
        <v>24</v>
      </c>
      <c r="C10" s="166">
        <v>6324343.0899999999</v>
      </c>
      <c r="D10" s="155">
        <v>0</v>
      </c>
      <c r="E10" s="151">
        <v>6088763.1900000004</v>
      </c>
      <c r="F10" s="20">
        <v>0</v>
      </c>
      <c r="G10" s="154">
        <v>6062618.6200000001</v>
      </c>
      <c r="H10" s="155">
        <v>0</v>
      </c>
      <c r="I10" s="161">
        <f>C10+E10+G10</f>
        <v>18475724.900000002</v>
      </c>
      <c r="J10" s="144">
        <f>D10+F10+H10</f>
        <v>0</v>
      </c>
    </row>
    <row r="11" spans="1:10" s="5" customFormat="1" x14ac:dyDescent="0.2">
      <c r="A11" s="8" t="s">
        <v>28</v>
      </c>
      <c r="B11" s="149" t="s">
        <v>29</v>
      </c>
      <c r="C11" s="165">
        <v>10031414.59</v>
      </c>
      <c r="D11" s="167">
        <f>7805151.15</f>
        <v>7805151.1500000004</v>
      </c>
      <c r="E11" s="152">
        <f>10922044.5</f>
        <v>10922044.5</v>
      </c>
      <c r="F11" s="21">
        <v>13237073.99</v>
      </c>
      <c r="G11" s="156">
        <f>13367270.73</f>
        <v>13367270.73</v>
      </c>
      <c r="H11" s="157">
        <v>10023789.34</v>
      </c>
      <c r="I11" s="162">
        <f t="shared" ref="I11:I49" si="0">C11+E11+G11</f>
        <v>34320729.82</v>
      </c>
      <c r="J11" s="145">
        <f t="shared" ref="J11:J49" si="1">D11+F11+H11</f>
        <v>31066014.48</v>
      </c>
    </row>
    <row r="12" spans="1:10" s="5" customFormat="1" x14ac:dyDescent="0.2">
      <c r="A12" s="8" t="s">
        <v>36</v>
      </c>
      <c r="B12" s="149" t="s">
        <v>37</v>
      </c>
      <c r="C12" s="165">
        <v>12069919.85</v>
      </c>
      <c r="D12" s="167">
        <f>7488351.24</f>
        <v>7488351.2400000002</v>
      </c>
      <c r="E12" s="152">
        <f>11728652.14</f>
        <v>11728652.140000001</v>
      </c>
      <c r="F12" s="21">
        <v>13702886.6</v>
      </c>
      <c r="G12" s="156">
        <f>10945791.56</f>
        <v>10945791.560000001</v>
      </c>
      <c r="H12" s="157">
        <v>10628642.85</v>
      </c>
      <c r="I12" s="162">
        <f t="shared" si="0"/>
        <v>34744363.550000004</v>
      </c>
      <c r="J12" s="145">
        <f t="shared" si="1"/>
        <v>31819880.689999998</v>
      </c>
    </row>
    <row r="13" spans="1:10" s="5" customFormat="1" x14ac:dyDescent="0.2">
      <c r="A13" s="8" t="s">
        <v>40</v>
      </c>
      <c r="B13" s="149" t="s">
        <v>41</v>
      </c>
      <c r="C13" s="165">
        <v>13596847.26</v>
      </c>
      <c r="D13" s="167">
        <f>6251134.76</f>
        <v>6251134.7599999998</v>
      </c>
      <c r="E13" s="152">
        <f>14107451.44</f>
        <v>14107451.439999999</v>
      </c>
      <c r="F13" s="21">
        <v>15815549.710000001</v>
      </c>
      <c r="G13" s="156">
        <f>14711537.69</f>
        <v>14711537.689999999</v>
      </c>
      <c r="H13" s="157">
        <v>17804970.539999999</v>
      </c>
      <c r="I13" s="162">
        <f t="shared" si="0"/>
        <v>42415836.390000001</v>
      </c>
      <c r="J13" s="145">
        <f t="shared" si="1"/>
        <v>39871655.009999998</v>
      </c>
    </row>
    <row r="14" spans="1:10" s="5" customFormat="1" x14ac:dyDescent="0.2">
      <c r="A14" s="8" t="s">
        <v>38</v>
      </c>
      <c r="B14" s="149" t="s">
        <v>39</v>
      </c>
      <c r="C14" s="165">
        <v>5935550.4199999999</v>
      </c>
      <c r="D14" s="167">
        <v>0</v>
      </c>
      <c r="E14" s="152">
        <v>5968429.3499999996</v>
      </c>
      <c r="F14" s="21">
        <v>0</v>
      </c>
      <c r="G14" s="156">
        <v>6327377.6600000001</v>
      </c>
      <c r="H14" s="157">
        <v>0</v>
      </c>
      <c r="I14" s="162">
        <f t="shared" si="0"/>
        <v>18231357.43</v>
      </c>
      <c r="J14" s="145">
        <f t="shared" si="1"/>
        <v>0</v>
      </c>
    </row>
    <row r="15" spans="1:10" s="5" customFormat="1" x14ac:dyDescent="0.2">
      <c r="A15" s="8" t="s">
        <v>62</v>
      </c>
      <c r="B15" s="149" t="s">
        <v>63</v>
      </c>
      <c r="C15" s="165">
        <v>12690883.98</v>
      </c>
      <c r="D15" s="167">
        <v>0</v>
      </c>
      <c r="E15" s="152">
        <v>12690883.98</v>
      </c>
      <c r="F15" s="21">
        <v>0</v>
      </c>
      <c r="G15" s="156">
        <v>13276836.310000001</v>
      </c>
      <c r="H15" s="157">
        <v>0</v>
      </c>
      <c r="I15" s="162">
        <f t="shared" si="0"/>
        <v>38658604.270000003</v>
      </c>
      <c r="J15" s="145">
        <f t="shared" si="1"/>
        <v>0</v>
      </c>
    </row>
    <row r="16" spans="1:10" s="5" customFormat="1" x14ac:dyDescent="0.2">
      <c r="A16" s="8" t="s">
        <v>42</v>
      </c>
      <c r="B16" s="149" t="s">
        <v>43</v>
      </c>
      <c r="C16" s="165">
        <v>5396726.4800000004</v>
      </c>
      <c r="D16" s="167">
        <v>0</v>
      </c>
      <c r="E16" s="152">
        <v>5396726.4800000004</v>
      </c>
      <c r="F16" s="21">
        <v>0</v>
      </c>
      <c r="G16" s="156">
        <v>4516289.76</v>
      </c>
      <c r="H16" s="157">
        <v>0</v>
      </c>
      <c r="I16" s="162">
        <f t="shared" si="0"/>
        <v>15309742.720000001</v>
      </c>
      <c r="J16" s="145">
        <f t="shared" si="1"/>
        <v>0</v>
      </c>
    </row>
    <row r="17" spans="1:10" s="5" customFormat="1" x14ac:dyDescent="0.2">
      <c r="A17" s="8" t="s">
        <v>48</v>
      </c>
      <c r="B17" s="149" t="s">
        <v>49</v>
      </c>
      <c r="C17" s="165">
        <v>27521442.109999999</v>
      </c>
      <c r="D17" s="167">
        <v>0</v>
      </c>
      <c r="E17" s="152">
        <v>32089813.969999999</v>
      </c>
      <c r="F17" s="21">
        <v>0</v>
      </c>
      <c r="G17" s="156">
        <f>30768518.09</f>
        <v>30768518.09</v>
      </c>
      <c r="H17" s="157">
        <v>616625</v>
      </c>
      <c r="I17" s="162">
        <f t="shared" si="0"/>
        <v>90379774.170000002</v>
      </c>
      <c r="J17" s="145">
        <f t="shared" si="1"/>
        <v>616625</v>
      </c>
    </row>
    <row r="18" spans="1:10" s="5" customFormat="1" x14ac:dyDescent="0.2">
      <c r="A18" s="8" t="s">
        <v>26</v>
      </c>
      <c r="B18" s="149" t="s">
        <v>27</v>
      </c>
      <c r="C18" s="165">
        <v>6952704.4299999997</v>
      </c>
      <c r="D18" s="167">
        <f>2073110</f>
        <v>2073110</v>
      </c>
      <c r="E18" s="152">
        <v>7017388.3399999999</v>
      </c>
      <c r="F18" s="21">
        <v>0</v>
      </c>
      <c r="G18" s="156">
        <f>8112622.84</f>
        <v>8112622.8399999999</v>
      </c>
      <c r="H18" s="157">
        <v>180100</v>
      </c>
      <c r="I18" s="162">
        <f t="shared" si="0"/>
        <v>22082715.609999999</v>
      </c>
      <c r="J18" s="145">
        <f t="shared" si="1"/>
        <v>2253210</v>
      </c>
    </row>
    <row r="19" spans="1:10" s="5" customFormat="1" x14ac:dyDescent="0.2">
      <c r="A19" s="8" t="s">
        <v>34</v>
      </c>
      <c r="B19" s="149" t="s">
        <v>35</v>
      </c>
      <c r="C19" s="165">
        <v>8920389.6400000006</v>
      </c>
      <c r="D19" s="167">
        <v>0</v>
      </c>
      <c r="E19" s="168">
        <v>8928072.5299999993</v>
      </c>
      <c r="F19" s="169">
        <v>0</v>
      </c>
      <c r="G19" s="165">
        <v>8343659.4100000001</v>
      </c>
      <c r="H19" s="167">
        <v>0</v>
      </c>
      <c r="I19" s="162">
        <f t="shared" si="0"/>
        <v>26192121.580000002</v>
      </c>
      <c r="J19" s="145">
        <f t="shared" si="1"/>
        <v>0</v>
      </c>
    </row>
    <row r="20" spans="1:10" s="5" customFormat="1" x14ac:dyDescent="0.2">
      <c r="A20" s="8" t="s">
        <v>32</v>
      </c>
      <c r="B20" s="149" t="s">
        <v>33</v>
      </c>
      <c r="C20" s="165">
        <v>9070884.1099999994</v>
      </c>
      <c r="D20" s="167">
        <v>0</v>
      </c>
      <c r="E20" s="168">
        <v>9734804.5600000005</v>
      </c>
      <c r="F20" s="169">
        <v>0</v>
      </c>
      <c r="G20" s="165">
        <v>10431663.75</v>
      </c>
      <c r="H20" s="167">
        <v>0</v>
      </c>
      <c r="I20" s="162">
        <f t="shared" si="0"/>
        <v>29237352.420000002</v>
      </c>
      <c r="J20" s="145">
        <f t="shared" si="1"/>
        <v>0</v>
      </c>
    </row>
    <row r="21" spans="1:10" s="5" customFormat="1" x14ac:dyDescent="0.2">
      <c r="A21" s="8" t="s">
        <v>52</v>
      </c>
      <c r="B21" s="149" t="s">
        <v>53</v>
      </c>
      <c r="C21" s="165">
        <v>21715338.41</v>
      </c>
      <c r="D21" s="167">
        <f>1526837</f>
        <v>1526837</v>
      </c>
      <c r="E21" s="168">
        <f>18696113</f>
        <v>18696113</v>
      </c>
      <c r="F21" s="169">
        <v>13500</v>
      </c>
      <c r="G21" s="165">
        <f>21581022.99+285689.57</f>
        <v>21866712.559999999</v>
      </c>
      <c r="H21" s="167">
        <v>68005177</v>
      </c>
      <c r="I21" s="162">
        <f t="shared" si="0"/>
        <v>62278163.969999999</v>
      </c>
      <c r="J21" s="145">
        <f t="shared" si="1"/>
        <v>69545514</v>
      </c>
    </row>
    <row r="22" spans="1:10" s="5" customFormat="1" x14ac:dyDescent="0.2">
      <c r="A22" s="8" t="s">
        <v>56</v>
      </c>
      <c r="B22" s="149" t="s">
        <v>57</v>
      </c>
      <c r="C22" s="165">
        <v>9367768.0800000001</v>
      </c>
      <c r="D22" s="167">
        <v>0</v>
      </c>
      <c r="E22" s="168">
        <v>9893831.1999999993</v>
      </c>
      <c r="F22" s="169">
        <v>0</v>
      </c>
      <c r="G22" s="165">
        <v>9500386.1300000008</v>
      </c>
      <c r="H22" s="167">
        <v>0</v>
      </c>
      <c r="I22" s="162">
        <f t="shared" si="0"/>
        <v>28761985.410000004</v>
      </c>
      <c r="J22" s="145">
        <f t="shared" si="1"/>
        <v>0</v>
      </c>
    </row>
    <row r="23" spans="1:10" s="5" customFormat="1" x14ac:dyDescent="0.2">
      <c r="A23" s="8" t="s">
        <v>70</v>
      </c>
      <c r="B23" s="149" t="s">
        <v>71</v>
      </c>
      <c r="C23" s="165">
        <v>12516276.41</v>
      </c>
      <c r="D23" s="167">
        <f>947722</f>
        <v>947722</v>
      </c>
      <c r="E23" s="168">
        <f>12697075.89</f>
        <v>12697075.890000001</v>
      </c>
      <c r="F23" s="169">
        <v>6555282.6699999999</v>
      </c>
      <c r="G23" s="165">
        <f>14896395.17</f>
        <v>14896395.17</v>
      </c>
      <c r="H23" s="167">
        <v>2335631.04</v>
      </c>
      <c r="I23" s="162">
        <f t="shared" si="0"/>
        <v>40109747.469999999</v>
      </c>
      <c r="J23" s="145">
        <f t="shared" si="1"/>
        <v>9838635.7100000009</v>
      </c>
    </row>
    <row r="24" spans="1:10" s="5" customFormat="1" x14ac:dyDescent="0.2">
      <c r="A24" s="8" t="s">
        <v>80</v>
      </c>
      <c r="B24" s="149" t="s">
        <v>140</v>
      </c>
      <c r="C24" s="165">
        <f>14471357.76+41828.07</f>
        <v>14513185.83</v>
      </c>
      <c r="D24" s="167">
        <f>+(464781605.57-450049089.67)-5234268.58+811593.44</f>
        <v>10309840.759999976</v>
      </c>
      <c r="E24" s="168">
        <f>14486889.25+54762.5</f>
        <v>14541651.75</v>
      </c>
      <c r="F24" s="169">
        <f>(461401801.49-459434180.14)-1136726.86+811593.44</f>
        <v>1642487.9300000237</v>
      </c>
      <c r="G24" s="165">
        <f>14609787.67+957.61+3+1.07+2.29+12554.7</f>
        <v>14623306.339999998</v>
      </c>
      <c r="H24" s="167">
        <f>(474966225.49-470409245.22)-2620435.54+557970.49-12554.7+1</f>
        <v>2481961.5199999809</v>
      </c>
      <c r="I24" s="162">
        <f t="shared" si="0"/>
        <v>43678143.919999994</v>
      </c>
      <c r="J24" s="145">
        <f t="shared" si="1"/>
        <v>14434290.20999998</v>
      </c>
    </row>
    <row r="25" spans="1:10" s="5" customFormat="1" x14ac:dyDescent="0.2">
      <c r="A25" s="8" t="s">
        <v>89</v>
      </c>
      <c r="B25" s="149" t="s">
        <v>90</v>
      </c>
      <c r="C25" s="165">
        <v>13788241.220000001</v>
      </c>
      <c r="D25" s="167">
        <f>184769354.98</f>
        <v>184769354.97999999</v>
      </c>
      <c r="E25" s="168">
        <f>13291920.19</f>
        <v>13291920.189999999</v>
      </c>
      <c r="F25" s="169">
        <v>193477748.91</v>
      </c>
      <c r="G25" s="165">
        <f>13831182.51</f>
        <v>13831182.51</v>
      </c>
      <c r="H25" s="167">
        <v>191676290.36000001</v>
      </c>
      <c r="I25" s="162">
        <f t="shared" si="0"/>
        <v>40911343.920000002</v>
      </c>
      <c r="J25" s="145">
        <f t="shared" si="1"/>
        <v>569923394.25</v>
      </c>
    </row>
    <row r="26" spans="1:10" s="5" customFormat="1" x14ac:dyDescent="0.2">
      <c r="A26" s="8" t="s">
        <v>97</v>
      </c>
      <c r="B26" s="149" t="s">
        <v>98</v>
      </c>
      <c r="C26" s="165">
        <v>17175862.66</v>
      </c>
      <c r="D26" s="167">
        <f>11531600.28</f>
        <v>11531600.279999999</v>
      </c>
      <c r="E26" s="168">
        <f>17471965.15</f>
        <v>17471965.149999999</v>
      </c>
      <c r="F26" s="169">
        <v>12645879.380000001</v>
      </c>
      <c r="G26" s="165">
        <v>18149595.039999999</v>
      </c>
      <c r="H26" s="167">
        <v>11798669.279999999</v>
      </c>
      <c r="I26" s="162">
        <f t="shared" si="0"/>
        <v>52797422.850000001</v>
      </c>
      <c r="J26" s="145">
        <f t="shared" si="1"/>
        <v>35976148.939999998</v>
      </c>
    </row>
    <row r="27" spans="1:10" s="5" customFormat="1" x14ac:dyDescent="0.2">
      <c r="A27" s="8" t="s">
        <v>187</v>
      </c>
      <c r="B27" s="149" t="s">
        <v>188</v>
      </c>
      <c r="C27" s="165">
        <v>2969949.8</v>
      </c>
      <c r="D27" s="167">
        <v>0</v>
      </c>
      <c r="E27" s="168">
        <v>2979492.35</v>
      </c>
      <c r="F27" s="169">
        <v>0</v>
      </c>
      <c r="G27" s="165">
        <v>3160937.32</v>
      </c>
      <c r="H27" s="167">
        <v>0</v>
      </c>
      <c r="I27" s="162">
        <f t="shared" si="0"/>
        <v>9110379.4700000007</v>
      </c>
      <c r="J27" s="145">
        <f t="shared" si="1"/>
        <v>0</v>
      </c>
    </row>
    <row r="28" spans="1:10" s="5" customFormat="1" x14ac:dyDescent="0.2">
      <c r="A28" s="8" t="s">
        <v>54</v>
      </c>
      <c r="B28" s="149" t="s">
        <v>55</v>
      </c>
      <c r="C28" s="165">
        <v>12823573.51</v>
      </c>
      <c r="D28" s="167">
        <f>28260</f>
        <v>28260</v>
      </c>
      <c r="E28" s="168">
        <f>12700319.59</f>
        <v>12700319.59</v>
      </c>
      <c r="F28" s="169">
        <v>39359.96</v>
      </c>
      <c r="G28" s="165">
        <f>13361203.74</f>
        <v>13361203.74</v>
      </c>
      <c r="H28" s="167">
        <v>28006</v>
      </c>
      <c r="I28" s="162">
        <f t="shared" si="0"/>
        <v>38885096.840000004</v>
      </c>
      <c r="J28" s="145">
        <f t="shared" si="1"/>
        <v>95625.959999999992</v>
      </c>
    </row>
    <row r="29" spans="1:10" s="5" customFormat="1" x14ac:dyDescent="0.2">
      <c r="A29" s="8" t="s">
        <v>44</v>
      </c>
      <c r="B29" s="149" t="s">
        <v>45</v>
      </c>
      <c r="C29" s="165">
        <v>13067139.57</v>
      </c>
      <c r="D29" s="167">
        <f>593900800.75</f>
        <v>593900800.75</v>
      </c>
      <c r="E29" s="168">
        <f>13174428.77</f>
        <v>13174428.77</v>
      </c>
      <c r="F29" s="169">
        <v>681434431.97000003</v>
      </c>
      <c r="G29" s="165">
        <f>13941969.64</f>
        <v>13941969.640000001</v>
      </c>
      <c r="H29" s="167">
        <v>64575962.030000001</v>
      </c>
      <c r="I29" s="162">
        <f t="shared" si="0"/>
        <v>40183537.980000004</v>
      </c>
      <c r="J29" s="145">
        <f t="shared" si="1"/>
        <v>1339911194.75</v>
      </c>
    </row>
    <row r="30" spans="1:10" s="5" customFormat="1" x14ac:dyDescent="0.2">
      <c r="A30" s="8" t="s">
        <v>46</v>
      </c>
      <c r="B30" s="149" t="s">
        <v>47</v>
      </c>
      <c r="C30" s="165">
        <f>7720597.12</f>
        <v>7720597.1200000001</v>
      </c>
      <c r="D30" s="167">
        <v>78000</v>
      </c>
      <c r="E30" s="168">
        <v>8246660.2400000002</v>
      </c>
      <c r="F30" s="169">
        <v>0</v>
      </c>
      <c r="G30" s="165">
        <v>8301243.5599999996</v>
      </c>
      <c r="H30" s="167">
        <v>0</v>
      </c>
      <c r="I30" s="162">
        <f t="shared" si="0"/>
        <v>24268500.919999998</v>
      </c>
      <c r="J30" s="145">
        <f t="shared" si="1"/>
        <v>78000</v>
      </c>
    </row>
    <row r="31" spans="1:10" s="5" customFormat="1" x14ac:dyDescent="0.2">
      <c r="A31" s="8" t="s">
        <v>60</v>
      </c>
      <c r="B31" s="149" t="s">
        <v>61</v>
      </c>
      <c r="C31" s="165">
        <f>726525.02+811593</f>
        <v>1538118.02</v>
      </c>
      <c r="D31" s="167">
        <v>0</v>
      </c>
      <c r="E31" s="168">
        <f>661619.33+811593</f>
        <v>1473212.33</v>
      </c>
      <c r="F31" s="169">
        <v>0</v>
      </c>
      <c r="G31" s="165">
        <f>807252.97+557970</f>
        <v>1365222.97</v>
      </c>
      <c r="H31" s="167">
        <v>0</v>
      </c>
      <c r="I31" s="162">
        <f t="shared" si="0"/>
        <v>4376553.32</v>
      </c>
      <c r="J31" s="145">
        <f t="shared" si="1"/>
        <v>0</v>
      </c>
    </row>
    <row r="32" spans="1:10" s="5" customFormat="1" x14ac:dyDescent="0.2">
      <c r="A32" s="8" t="s">
        <v>66</v>
      </c>
      <c r="B32" s="149" t="s">
        <v>67</v>
      </c>
      <c r="C32" s="165">
        <f>9083943.23+1360258.17</f>
        <v>10444201.4</v>
      </c>
      <c r="D32" s="167">
        <v>0</v>
      </c>
      <c r="E32" s="168">
        <v>9804147.0800000001</v>
      </c>
      <c r="F32" s="169">
        <v>0</v>
      </c>
      <c r="G32" s="165">
        <f>10964428.48+1022137.85+753673.66</f>
        <v>12740239.99</v>
      </c>
      <c r="H32" s="167">
        <v>0</v>
      </c>
      <c r="I32" s="162">
        <f t="shared" si="0"/>
        <v>32988588.469999999</v>
      </c>
      <c r="J32" s="145">
        <f t="shared" si="1"/>
        <v>0</v>
      </c>
    </row>
    <row r="33" spans="1:10" s="5" customFormat="1" x14ac:dyDescent="0.2">
      <c r="A33" s="8" t="s">
        <v>91</v>
      </c>
      <c r="B33" s="149" t="s">
        <v>92</v>
      </c>
      <c r="C33" s="165">
        <v>5770090.4900000002</v>
      </c>
      <c r="D33" s="167">
        <v>0</v>
      </c>
      <c r="E33" s="168">
        <v>5770090.4900000002</v>
      </c>
      <c r="F33" s="169">
        <v>0</v>
      </c>
      <c r="G33" s="165">
        <v>5911321.4900000002</v>
      </c>
      <c r="H33" s="167">
        <v>0</v>
      </c>
      <c r="I33" s="162">
        <f t="shared" si="0"/>
        <v>17451502.469999999</v>
      </c>
      <c r="J33" s="145">
        <f t="shared" si="1"/>
        <v>0</v>
      </c>
    </row>
    <row r="34" spans="1:10" s="5" customFormat="1" x14ac:dyDescent="0.2">
      <c r="A34" s="8" t="s">
        <v>189</v>
      </c>
      <c r="B34" s="149" t="s">
        <v>25</v>
      </c>
      <c r="C34" s="165">
        <v>10910919.93</v>
      </c>
      <c r="D34" s="167">
        <v>0</v>
      </c>
      <c r="E34" s="152">
        <v>9954720.5</v>
      </c>
      <c r="F34" s="21">
        <v>0</v>
      </c>
      <c r="G34" s="156">
        <v>9278388.9100000001</v>
      </c>
      <c r="H34" s="157">
        <v>0</v>
      </c>
      <c r="I34" s="162">
        <f t="shared" si="0"/>
        <v>30144029.34</v>
      </c>
      <c r="J34" s="145">
        <f t="shared" si="1"/>
        <v>0</v>
      </c>
    </row>
    <row r="35" spans="1:10" s="5" customFormat="1" x14ac:dyDescent="0.2">
      <c r="A35" s="8" t="s">
        <v>50</v>
      </c>
      <c r="B35" s="149" t="s">
        <v>51</v>
      </c>
      <c r="C35" s="165">
        <f>6860012.14</f>
        <v>6860012.1399999997</v>
      </c>
      <c r="D35" s="167">
        <v>0</v>
      </c>
      <c r="E35" s="152">
        <f>6860012.14</f>
        <v>6860012.1399999997</v>
      </c>
      <c r="F35" s="21">
        <v>15457.37</v>
      </c>
      <c r="G35" s="156">
        <f>6407441.98</f>
        <v>6407441.9800000004</v>
      </c>
      <c r="H35" s="157">
        <v>199999</v>
      </c>
      <c r="I35" s="162">
        <f t="shared" si="0"/>
        <v>20127466.259999998</v>
      </c>
      <c r="J35" s="145">
        <f t="shared" si="1"/>
        <v>215456.37</v>
      </c>
    </row>
    <row r="36" spans="1:10" s="5" customFormat="1" x14ac:dyDescent="0.2">
      <c r="A36" s="8" t="s">
        <v>95</v>
      </c>
      <c r="B36" s="149" t="s">
        <v>96</v>
      </c>
      <c r="C36" s="165">
        <v>6912736.7199999997</v>
      </c>
      <c r="D36" s="167">
        <f>29352341.5</f>
        <v>29352341.5</v>
      </c>
      <c r="E36" s="152">
        <f>7056601.61</f>
        <v>7056601.6100000003</v>
      </c>
      <c r="F36" s="21">
        <v>19583349.640000001</v>
      </c>
      <c r="G36" s="156">
        <f>6085299.39</f>
        <v>6085299.3899999997</v>
      </c>
      <c r="H36" s="157">
        <v>14802493.529999999</v>
      </c>
      <c r="I36" s="162">
        <f t="shared" si="0"/>
        <v>20054637.719999999</v>
      </c>
      <c r="J36" s="145">
        <f t="shared" si="1"/>
        <v>63738184.670000002</v>
      </c>
    </row>
    <row r="37" spans="1:10" s="5" customFormat="1" x14ac:dyDescent="0.2">
      <c r="A37" s="8" t="s">
        <v>58</v>
      </c>
      <c r="B37" s="149" t="s">
        <v>59</v>
      </c>
      <c r="C37" s="165">
        <v>7309802.1600000001</v>
      </c>
      <c r="D37" s="167">
        <v>0</v>
      </c>
      <c r="E37" s="152">
        <v>7309802.1600000001</v>
      </c>
      <c r="F37" s="21">
        <v>0</v>
      </c>
      <c r="G37" s="156">
        <v>7379142.8799999999</v>
      </c>
      <c r="H37" s="157">
        <v>0</v>
      </c>
      <c r="I37" s="162">
        <f t="shared" si="0"/>
        <v>21998747.199999999</v>
      </c>
      <c r="J37" s="145">
        <f t="shared" si="1"/>
        <v>0</v>
      </c>
    </row>
    <row r="38" spans="1:10" x14ac:dyDescent="0.2">
      <c r="A38" s="8" t="s">
        <v>68</v>
      </c>
      <c r="B38" s="149" t="s">
        <v>69</v>
      </c>
      <c r="C38" s="165">
        <v>5242051.59</v>
      </c>
      <c r="D38" s="167">
        <v>0</v>
      </c>
      <c r="E38" s="152">
        <v>5707418.0999999996</v>
      </c>
      <c r="F38" s="21">
        <v>0</v>
      </c>
      <c r="G38" s="156">
        <v>6505422.3200000003</v>
      </c>
      <c r="H38" s="157">
        <v>0</v>
      </c>
      <c r="I38" s="162">
        <f t="shared" si="0"/>
        <v>17454892.009999998</v>
      </c>
      <c r="J38" s="145">
        <f t="shared" si="1"/>
        <v>0</v>
      </c>
    </row>
    <row r="39" spans="1:10" x14ac:dyDescent="0.2">
      <c r="A39" s="8" t="s">
        <v>64</v>
      </c>
      <c r="B39" s="149" t="s">
        <v>65</v>
      </c>
      <c r="C39" s="165">
        <f>3823267.82</f>
        <v>3823267.82</v>
      </c>
      <c r="D39" s="167">
        <v>6806256.0499999998</v>
      </c>
      <c r="E39" s="152">
        <f>3823267.82</f>
        <v>3823267.82</v>
      </c>
      <c r="F39" s="21">
        <v>3443715.61</v>
      </c>
      <c r="G39" s="156">
        <f>3904534.51</f>
        <v>3904534.51</v>
      </c>
      <c r="H39" s="157">
        <v>8152079.54</v>
      </c>
      <c r="I39" s="162">
        <f t="shared" si="0"/>
        <v>11551070.149999999</v>
      </c>
      <c r="J39" s="145">
        <f t="shared" si="1"/>
        <v>18402051.199999999</v>
      </c>
    </row>
    <row r="40" spans="1:10" x14ac:dyDescent="0.2">
      <c r="A40" s="8" t="s">
        <v>93</v>
      </c>
      <c r="B40" s="149" t="s">
        <v>94</v>
      </c>
      <c r="C40" s="165">
        <v>6407528.8499999996</v>
      </c>
      <c r="D40" s="167">
        <v>0</v>
      </c>
      <c r="E40" s="152">
        <v>6407528.8499999996</v>
      </c>
      <c r="F40" s="21">
        <v>0</v>
      </c>
      <c r="G40" s="156">
        <v>6809937.5199999996</v>
      </c>
      <c r="H40" s="157">
        <v>0</v>
      </c>
      <c r="I40" s="162">
        <f t="shared" si="0"/>
        <v>19624995.219999999</v>
      </c>
      <c r="J40" s="145">
        <f t="shared" si="1"/>
        <v>0</v>
      </c>
    </row>
    <row r="41" spans="1:10" x14ac:dyDescent="0.2">
      <c r="A41" s="8" t="s">
        <v>74</v>
      </c>
      <c r="B41" s="149" t="s">
        <v>75</v>
      </c>
      <c r="C41" s="165">
        <v>22134895.359999999</v>
      </c>
      <c r="D41" s="167">
        <v>104210</v>
      </c>
      <c r="E41" s="152">
        <f>24026740.45+270370.92</f>
        <v>24297111.370000001</v>
      </c>
      <c r="F41" s="21">
        <v>92300</v>
      </c>
      <c r="G41" s="156">
        <f>24078787.69</f>
        <v>24078787.690000001</v>
      </c>
      <c r="H41" s="157">
        <v>39690</v>
      </c>
      <c r="I41" s="162">
        <f t="shared" si="0"/>
        <v>70510794.420000002</v>
      </c>
      <c r="J41" s="145">
        <f t="shared" si="1"/>
        <v>236200</v>
      </c>
    </row>
    <row r="42" spans="1:10" x14ac:dyDescent="0.2">
      <c r="A42" s="8" t="s">
        <v>72</v>
      </c>
      <c r="B42" s="149" t="s">
        <v>73</v>
      </c>
      <c r="C42" s="165">
        <v>10245288.539999999</v>
      </c>
      <c r="D42" s="167">
        <v>0</v>
      </c>
      <c r="E42" s="152">
        <v>10908221.130000001</v>
      </c>
      <c r="F42" s="21">
        <v>0</v>
      </c>
      <c r="G42" s="156">
        <v>10741788.42</v>
      </c>
      <c r="H42" s="157">
        <v>0</v>
      </c>
      <c r="I42" s="162">
        <f t="shared" si="0"/>
        <v>31895298.090000004</v>
      </c>
      <c r="J42" s="145">
        <f t="shared" si="1"/>
        <v>0</v>
      </c>
    </row>
    <row r="43" spans="1:10" x14ac:dyDescent="0.2">
      <c r="A43" s="8" t="s">
        <v>85</v>
      </c>
      <c r="B43" s="149" t="s">
        <v>86</v>
      </c>
      <c r="C43" s="165">
        <f>16067093+1560522.07</f>
        <v>17627615.07</v>
      </c>
      <c r="D43" s="167">
        <v>0</v>
      </c>
      <c r="E43" s="152">
        <v>16067093</v>
      </c>
      <c r="F43" s="21">
        <v>0</v>
      </c>
      <c r="G43" s="156">
        <v>16863141.280000001</v>
      </c>
      <c r="H43" s="157">
        <v>0</v>
      </c>
      <c r="I43" s="162">
        <f t="shared" si="0"/>
        <v>50557849.350000001</v>
      </c>
      <c r="J43" s="145">
        <f t="shared" si="1"/>
        <v>0</v>
      </c>
    </row>
    <row r="44" spans="1:10" x14ac:dyDescent="0.2">
      <c r="A44" s="8" t="s">
        <v>78</v>
      </c>
      <c r="B44" s="149" t="s">
        <v>79</v>
      </c>
      <c r="C44" s="165">
        <f>24393989.26+1460067.2</f>
        <v>25854056.460000001</v>
      </c>
      <c r="D44" s="167">
        <f>49930</f>
        <v>49930</v>
      </c>
      <c r="E44" s="152">
        <v>23494766.399999999</v>
      </c>
      <c r="F44" s="21">
        <v>0</v>
      </c>
      <c r="G44" s="156">
        <f>24078163.74</f>
        <v>24078163.739999998</v>
      </c>
      <c r="H44" s="157">
        <v>36500</v>
      </c>
      <c r="I44" s="162">
        <f t="shared" si="0"/>
        <v>73426986.599999994</v>
      </c>
      <c r="J44" s="145">
        <f t="shared" si="1"/>
        <v>86430</v>
      </c>
    </row>
    <row r="45" spans="1:10" x14ac:dyDescent="0.2">
      <c r="A45" s="8" t="s">
        <v>76</v>
      </c>
      <c r="B45" s="149" t="s">
        <v>77</v>
      </c>
      <c r="C45" s="165">
        <f>21851419.28</f>
        <v>21851419.280000001</v>
      </c>
      <c r="D45" s="167">
        <v>56000</v>
      </c>
      <c r="E45" s="152">
        <v>23980339.25</v>
      </c>
      <c r="F45" s="21">
        <v>0</v>
      </c>
      <c r="G45" s="156">
        <f>23128038.38</f>
        <v>23128038.379999999</v>
      </c>
      <c r="H45" s="157">
        <v>152390</v>
      </c>
      <c r="I45" s="162">
        <f t="shared" si="0"/>
        <v>68959796.909999996</v>
      </c>
      <c r="J45" s="145">
        <f t="shared" si="1"/>
        <v>208390</v>
      </c>
    </row>
    <row r="46" spans="1:10" x14ac:dyDescent="0.2">
      <c r="A46" s="8" t="s">
        <v>83</v>
      </c>
      <c r="B46" s="149" t="s">
        <v>84</v>
      </c>
      <c r="C46" s="165">
        <v>23961613.02</v>
      </c>
      <c r="D46" s="167">
        <f>154000</f>
        <v>154000</v>
      </c>
      <c r="E46" s="152">
        <f>23896293.89</f>
        <v>23896293.890000001</v>
      </c>
      <c r="F46" s="21">
        <v>109300</v>
      </c>
      <c r="G46" s="156">
        <v>23992854.780000001</v>
      </c>
      <c r="H46" s="157">
        <v>0</v>
      </c>
      <c r="I46" s="162">
        <f t="shared" si="0"/>
        <v>71850761.689999998</v>
      </c>
      <c r="J46" s="145">
        <f t="shared" si="1"/>
        <v>263300</v>
      </c>
    </row>
    <row r="47" spans="1:10" x14ac:dyDescent="0.2">
      <c r="A47" s="8" t="s">
        <v>87</v>
      </c>
      <c r="B47" s="149" t="s">
        <v>88</v>
      </c>
      <c r="C47" s="165">
        <v>22617242.510000002</v>
      </c>
      <c r="D47" s="167">
        <f>76635</f>
        <v>76635</v>
      </c>
      <c r="E47" s="152">
        <v>23790331.579999998</v>
      </c>
      <c r="F47" s="21">
        <v>0</v>
      </c>
      <c r="G47" s="156">
        <f>23697225.32</f>
        <v>23697225.32</v>
      </c>
      <c r="H47" s="157">
        <v>53000</v>
      </c>
      <c r="I47" s="162">
        <f t="shared" si="0"/>
        <v>70104799.409999996</v>
      </c>
      <c r="J47" s="145">
        <f t="shared" si="1"/>
        <v>129635</v>
      </c>
    </row>
    <row r="48" spans="1:10" x14ac:dyDescent="0.2">
      <c r="A48" s="8" t="s">
        <v>81</v>
      </c>
      <c r="B48" s="149" t="s">
        <v>82</v>
      </c>
      <c r="C48" s="165">
        <v>1603460.25</v>
      </c>
      <c r="D48" s="157">
        <v>0</v>
      </c>
      <c r="E48" s="152">
        <v>1603460.25</v>
      </c>
      <c r="F48" s="21">
        <v>0</v>
      </c>
      <c r="G48" s="156">
        <f>1578165</f>
        <v>1578165</v>
      </c>
      <c r="H48" s="157">
        <v>9215250</v>
      </c>
      <c r="I48" s="162">
        <f t="shared" si="0"/>
        <v>4785085.5</v>
      </c>
      <c r="J48" s="145">
        <f t="shared" si="1"/>
        <v>9215250</v>
      </c>
    </row>
    <row r="49" spans="1:10" x14ac:dyDescent="0.2">
      <c r="A49" s="146" t="s">
        <v>30</v>
      </c>
      <c r="B49" s="150" t="s">
        <v>31</v>
      </c>
      <c r="C49" s="158">
        <v>0</v>
      </c>
      <c r="D49" s="159">
        <v>0</v>
      </c>
      <c r="E49" s="153">
        <v>0</v>
      </c>
      <c r="F49" s="160">
        <v>0</v>
      </c>
      <c r="G49" s="158">
        <v>0</v>
      </c>
      <c r="H49" s="159">
        <v>0</v>
      </c>
      <c r="I49" s="163">
        <f t="shared" si="0"/>
        <v>0</v>
      </c>
      <c r="J49" s="147">
        <f t="shared" si="1"/>
        <v>0</v>
      </c>
    </row>
    <row r="50" spans="1:10" s="1" customFormat="1" ht="21" customHeight="1" x14ac:dyDescent="0.2">
      <c r="A50" s="219" t="s">
        <v>1</v>
      </c>
      <c r="B50" s="219"/>
      <c r="C50" s="130">
        <f>SUM(C10:C49)</f>
        <v>455283358.18000007</v>
      </c>
      <c r="D50" s="131">
        <f>SUM(D10:D49)</f>
        <v>863309535.46999991</v>
      </c>
      <c r="E50" s="132">
        <f>SUM(E10:E49)</f>
        <v>460570906.56000006</v>
      </c>
      <c r="F50" s="133">
        <f>SUM(F10:F49)</f>
        <v>961808323.74000001</v>
      </c>
      <c r="G50" s="130">
        <f>SUM(G10:G48)</f>
        <v>473042234.99999994</v>
      </c>
      <c r="H50" s="164">
        <f>SUM(H10:H48)</f>
        <v>412807227.02999991</v>
      </c>
      <c r="I50" s="134">
        <f>SUM(I10:I48)</f>
        <v>1388896499.7400002</v>
      </c>
      <c r="J50" s="135">
        <f>SUM(J10:J49)</f>
        <v>2237925086.2399998</v>
      </c>
    </row>
    <row r="51" spans="1:10" s="1" customFormat="1" ht="21" customHeight="1" x14ac:dyDescent="0.2">
      <c r="A51" s="220"/>
      <c r="B51" s="220"/>
      <c r="C51" s="221">
        <f>C50+D50</f>
        <v>1318592893.6500001</v>
      </c>
      <c r="D51" s="222"/>
      <c r="E51" s="223">
        <f>E50+F50</f>
        <v>1422379230.3000002</v>
      </c>
      <c r="F51" s="224"/>
      <c r="G51" s="221">
        <f>G50+H50</f>
        <v>885849462.02999985</v>
      </c>
      <c r="H51" s="222"/>
      <c r="I51" s="226">
        <f>+I50+J50</f>
        <v>3626821585.98</v>
      </c>
      <c r="J51" s="227"/>
    </row>
    <row r="52" spans="1:10" s="1" customFormat="1" ht="21" customHeight="1" x14ac:dyDescent="0.2">
      <c r="A52" s="136" t="s">
        <v>192</v>
      </c>
      <c r="B52" s="137"/>
      <c r="C52" s="138">
        <f>C50/C51</f>
        <v>0.34527969957408849</v>
      </c>
      <c r="D52" s="139">
        <f>D50/C51</f>
        <v>0.65472030042591145</v>
      </c>
      <c r="E52" s="140">
        <f>E50/E51</f>
        <v>0.32380317200136494</v>
      </c>
      <c r="F52" s="141">
        <f>F50/E51</f>
        <v>0.67619682799863501</v>
      </c>
      <c r="G52" s="138">
        <f>G50/G51</f>
        <v>0.53399844474249969</v>
      </c>
      <c r="H52" s="139">
        <f>H50/G51</f>
        <v>0.46600155525750031</v>
      </c>
      <c r="I52" s="142">
        <f>I50/I51</f>
        <v>0.38295142642499408</v>
      </c>
      <c r="J52" s="143">
        <f>J50/I51</f>
        <v>0.61704857357500598</v>
      </c>
    </row>
    <row r="53" spans="1:10" x14ac:dyDescent="0.2">
      <c r="A53" s="204" t="s">
        <v>190</v>
      </c>
      <c r="B53" s="204"/>
      <c r="C53" s="204"/>
      <c r="D53" s="204"/>
      <c r="E53" s="204"/>
      <c r="F53" s="204"/>
      <c r="G53" s="204"/>
      <c r="H53" s="122"/>
      <c r="I53" s="9"/>
    </row>
    <row r="54" spans="1:10" x14ac:dyDescent="0.2">
      <c r="A54" s="3"/>
      <c r="B54" s="3"/>
      <c r="C54" s="121"/>
      <c r="D54" s="121"/>
      <c r="E54" s="121"/>
      <c r="F54" s="121"/>
      <c r="G54" s="121"/>
      <c r="H54" s="121"/>
      <c r="I54" s="121"/>
    </row>
    <row r="55" spans="1:10" x14ac:dyDescent="0.2">
      <c r="A55" s="3"/>
      <c r="B55" s="3"/>
      <c r="C55" s="121"/>
      <c r="D55" s="121"/>
      <c r="E55" s="121"/>
      <c r="F55" s="121"/>
      <c r="H55" s="121"/>
      <c r="I55" s="121"/>
    </row>
    <row r="56" spans="1:10" x14ac:dyDescent="0.2">
      <c r="C56" s="7"/>
      <c r="D56" s="7"/>
      <c r="E56" s="7"/>
      <c r="F56" s="7"/>
      <c r="H56" s="7"/>
      <c r="I56" s="7"/>
    </row>
    <row r="57" spans="1:10" x14ac:dyDescent="0.2">
      <c r="C57" s="7"/>
      <c r="D57" s="7"/>
      <c r="E57" s="7"/>
      <c r="F57" s="7"/>
      <c r="G57" s="7"/>
      <c r="H57" s="7"/>
      <c r="I57" s="7"/>
    </row>
    <row r="58" spans="1:10" x14ac:dyDescent="0.2">
      <c r="C58" s="7"/>
      <c r="D58" s="7"/>
      <c r="E58" s="7"/>
      <c r="F58" s="7"/>
      <c r="G58" s="7"/>
      <c r="H58" s="7"/>
      <c r="I58" s="7"/>
    </row>
    <row r="59" spans="1:10" x14ac:dyDescent="0.2">
      <c r="C59" s="7"/>
      <c r="D59" s="7"/>
      <c r="E59" s="7"/>
      <c r="F59" s="7"/>
      <c r="G59" s="7"/>
      <c r="H59" s="7"/>
      <c r="I59" s="7"/>
    </row>
    <row r="60" spans="1:10" x14ac:dyDescent="0.2">
      <c r="C60" s="7"/>
      <c r="D60" s="7"/>
      <c r="E60" s="7"/>
      <c r="F60" s="7"/>
      <c r="G60" s="7"/>
      <c r="H60" s="7"/>
      <c r="I60" s="7"/>
    </row>
    <row r="61" spans="1:10" x14ac:dyDescent="0.2">
      <c r="C61" s="7"/>
      <c r="D61" s="7"/>
      <c r="E61" s="7"/>
      <c r="F61" s="7"/>
      <c r="G61" s="7"/>
      <c r="H61" s="7"/>
      <c r="I61" s="7"/>
    </row>
    <row r="62" spans="1:10" x14ac:dyDescent="0.2">
      <c r="C62" s="7"/>
      <c r="D62" s="7"/>
      <c r="E62" s="7"/>
      <c r="F62" s="7"/>
      <c r="G62" s="7"/>
      <c r="H62" s="7"/>
      <c r="I62" s="7"/>
    </row>
    <row r="63" spans="1:10" x14ac:dyDescent="0.2">
      <c r="C63" s="7"/>
      <c r="D63" s="7"/>
      <c r="E63" s="7"/>
      <c r="F63" s="7"/>
      <c r="G63" s="7"/>
      <c r="H63" s="7"/>
      <c r="I63" s="7"/>
    </row>
    <row r="64" spans="1:10" x14ac:dyDescent="0.2">
      <c r="C64" s="7"/>
      <c r="D64" s="7"/>
      <c r="E64" s="7"/>
      <c r="F64" s="7"/>
      <c r="G64" s="7"/>
      <c r="H64" s="7"/>
      <c r="I64" s="7"/>
    </row>
    <row r="65" spans="3:9" x14ac:dyDescent="0.2">
      <c r="C65" s="7"/>
      <c r="D65" s="7"/>
      <c r="E65" s="7"/>
      <c r="F65" s="7"/>
      <c r="G65" s="7"/>
      <c r="H65" s="7"/>
      <c r="I65" s="7"/>
    </row>
    <row r="66" spans="3:9" x14ac:dyDescent="0.2">
      <c r="C66" s="7"/>
      <c r="D66" s="7"/>
      <c r="E66" s="7"/>
      <c r="F66" s="7"/>
      <c r="G66" s="7"/>
      <c r="H66" s="7"/>
      <c r="I66" s="7"/>
    </row>
    <row r="67" spans="3:9" x14ac:dyDescent="0.2">
      <c r="C67" s="7"/>
      <c r="D67" s="7"/>
      <c r="E67" s="7"/>
      <c r="F67" s="7"/>
      <c r="G67" s="7"/>
      <c r="H67" s="7"/>
      <c r="I67" s="7"/>
    </row>
    <row r="68" spans="3:9" x14ac:dyDescent="0.2">
      <c r="C68" s="7"/>
      <c r="D68" s="7"/>
      <c r="E68" s="7"/>
      <c r="F68" s="7"/>
      <c r="G68" s="7"/>
      <c r="H68" s="7"/>
      <c r="I68" s="7"/>
    </row>
    <row r="69" spans="3:9" x14ac:dyDescent="0.2">
      <c r="C69" s="7"/>
      <c r="D69" s="7"/>
      <c r="E69" s="7"/>
      <c r="F69" s="7"/>
      <c r="G69" s="7"/>
      <c r="H69" s="7"/>
      <c r="I69" s="7"/>
    </row>
    <row r="70" spans="3:9" x14ac:dyDescent="0.2">
      <c r="C70" s="7"/>
      <c r="D70" s="7"/>
      <c r="E70" s="7"/>
      <c r="F70" s="7"/>
      <c r="G70" s="7"/>
      <c r="H70" s="7"/>
      <c r="I70" s="7"/>
    </row>
    <row r="71" spans="3:9" x14ac:dyDescent="0.2">
      <c r="C71" s="7"/>
      <c r="D71" s="7"/>
      <c r="E71" s="7"/>
      <c r="F71" s="7"/>
      <c r="G71" s="7"/>
      <c r="H71" s="7"/>
      <c r="I71" s="7"/>
    </row>
    <row r="72" spans="3:9" x14ac:dyDescent="0.2">
      <c r="C72" s="7"/>
      <c r="D72" s="7"/>
      <c r="E72" s="7"/>
      <c r="F72" s="7"/>
      <c r="G72" s="7"/>
      <c r="H72" s="7"/>
      <c r="I72" s="7"/>
    </row>
    <row r="73" spans="3:9" x14ac:dyDescent="0.2">
      <c r="C73" s="7"/>
      <c r="D73" s="7"/>
      <c r="E73" s="7"/>
      <c r="F73" s="7"/>
      <c r="G73" s="7"/>
      <c r="H73" s="7"/>
      <c r="I73" s="7"/>
    </row>
    <row r="74" spans="3:9" x14ac:dyDescent="0.2">
      <c r="C74" s="7"/>
      <c r="D74" s="7"/>
      <c r="E74" s="7"/>
      <c r="F74" s="7"/>
      <c r="G74" s="7"/>
      <c r="H74" s="7"/>
      <c r="I74" s="7"/>
    </row>
    <row r="75" spans="3:9" x14ac:dyDescent="0.2">
      <c r="C75" s="7"/>
      <c r="D75" s="7"/>
      <c r="E75" s="7"/>
      <c r="F75" s="7"/>
      <c r="G75" s="7"/>
      <c r="H75" s="7"/>
      <c r="I75" s="7"/>
    </row>
    <row r="76" spans="3:9" x14ac:dyDescent="0.2">
      <c r="C76" s="7"/>
      <c r="D76" s="7"/>
      <c r="E76" s="7"/>
      <c r="F76" s="7"/>
      <c r="G76" s="7"/>
      <c r="H76" s="7"/>
      <c r="I76" s="7"/>
    </row>
    <row r="77" spans="3:9" x14ac:dyDescent="0.2">
      <c r="C77" s="7"/>
      <c r="D77" s="7"/>
      <c r="E77" s="7"/>
      <c r="F77" s="7"/>
      <c r="G77" s="7"/>
      <c r="H77" s="7"/>
      <c r="I77" s="7"/>
    </row>
    <row r="78" spans="3:9" x14ac:dyDescent="0.2">
      <c r="C78" s="7"/>
      <c r="D78" s="7"/>
      <c r="E78" s="7"/>
      <c r="F78" s="7"/>
      <c r="G78" s="7"/>
      <c r="H78" s="7"/>
      <c r="I78" s="7"/>
    </row>
    <row r="79" spans="3:9" x14ac:dyDescent="0.2">
      <c r="C79" s="7"/>
      <c r="D79" s="7"/>
      <c r="E79" s="7"/>
      <c r="F79" s="7"/>
      <c r="G79" s="7"/>
      <c r="H79" s="7"/>
      <c r="I79" s="7"/>
    </row>
    <row r="80" spans="3:9" x14ac:dyDescent="0.2">
      <c r="C80" s="7"/>
      <c r="D80" s="7"/>
      <c r="E80" s="7"/>
      <c r="F80" s="7"/>
      <c r="G80" s="7"/>
      <c r="H80" s="7"/>
      <c r="I80" s="7"/>
    </row>
  </sheetData>
  <mergeCells count="16">
    <mergeCell ref="A1:J1"/>
    <mergeCell ref="I51:J51"/>
    <mergeCell ref="C2:J2"/>
    <mergeCell ref="C3:J3"/>
    <mergeCell ref="C4:J4"/>
    <mergeCell ref="C6:J6"/>
    <mergeCell ref="I8:J8"/>
    <mergeCell ref="A53:G53"/>
    <mergeCell ref="A8:B9"/>
    <mergeCell ref="C8:D8"/>
    <mergeCell ref="E8:F8"/>
    <mergeCell ref="G8:H8"/>
    <mergeCell ref="A50:B51"/>
    <mergeCell ref="C51:D51"/>
    <mergeCell ref="E51:F51"/>
    <mergeCell ref="G51:H51"/>
  </mergeCells>
  <printOptions horizontalCentered="1" verticalCentered="1"/>
  <pageMargins left="0" right="0" top="0.15748031496062992" bottom="0.15748031496062992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A305-A1BE-4F13-8E09-BFFA7830AE67}">
  <dimension ref="A1:L52"/>
  <sheetViews>
    <sheetView tabSelected="1" workbookViewId="0">
      <selection activeCell="H16" sqref="H16"/>
    </sheetView>
  </sheetViews>
  <sheetFormatPr baseColWidth="10" defaultColWidth="11.5" defaultRowHeight="15" x14ac:dyDescent="0.2"/>
  <cols>
    <col min="1" max="1" width="6.5" style="5" bestFit="1" customWidth="1"/>
    <col min="2" max="2" width="35.6640625" style="5" customWidth="1"/>
    <col min="3" max="3" width="19.6640625" style="5" customWidth="1"/>
    <col min="4" max="4" width="19.5" style="5" customWidth="1"/>
    <col min="5" max="5" width="18.1640625" style="5" customWidth="1"/>
    <col min="6" max="6" width="19.5" style="5" customWidth="1"/>
    <col min="7" max="16384" width="11.5" style="5"/>
  </cols>
  <sheetData>
    <row r="1" spans="1:12" x14ac:dyDescent="0.2">
      <c r="A1" s="225"/>
      <c r="B1" s="225"/>
      <c r="C1" s="225"/>
      <c r="D1" s="225"/>
      <c r="E1" s="225"/>
      <c r="F1" s="225"/>
    </row>
    <row r="2" spans="1:12" x14ac:dyDescent="0.2">
      <c r="A2" s="225"/>
      <c r="B2" s="225"/>
      <c r="C2" s="225"/>
      <c r="D2" s="225"/>
      <c r="E2" s="225"/>
      <c r="F2" s="225"/>
    </row>
    <row r="3" spans="1:12" ht="16" x14ac:dyDescent="0.2">
      <c r="A3" s="34"/>
      <c r="B3" s="10"/>
      <c r="C3" s="210" t="s">
        <v>126</v>
      </c>
      <c r="D3" s="210"/>
      <c r="E3" s="210"/>
      <c r="F3" s="210"/>
    </row>
    <row r="4" spans="1:12" ht="16" x14ac:dyDescent="0.2">
      <c r="A4" s="10"/>
      <c r="B4" s="10"/>
      <c r="C4" s="210" t="s">
        <v>136</v>
      </c>
      <c r="D4" s="210"/>
      <c r="E4" s="210"/>
      <c r="F4" s="210"/>
    </row>
    <row r="5" spans="1:12" ht="16" x14ac:dyDescent="0.2">
      <c r="A5" s="33"/>
      <c r="B5" s="10"/>
      <c r="C5" s="210" t="s">
        <v>183</v>
      </c>
      <c r="D5" s="210"/>
      <c r="E5" s="210"/>
      <c r="F5" s="210"/>
    </row>
    <row r="6" spans="1:12" ht="16" x14ac:dyDescent="0.2">
      <c r="A6" s="33"/>
      <c r="B6" s="33"/>
      <c r="C6" s="45"/>
      <c r="D6" s="45"/>
      <c r="E6" s="45"/>
      <c r="F6" s="45"/>
    </row>
    <row r="7" spans="1:12" ht="16" x14ac:dyDescent="0.2">
      <c r="B7" s="44"/>
      <c r="C7" s="205" t="s">
        <v>101</v>
      </c>
      <c r="D7" s="205"/>
      <c r="E7" s="205"/>
      <c r="F7" s="205"/>
    </row>
    <row r="8" spans="1:12" ht="16" x14ac:dyDescent="0.2">
      <c r="B8" s="44"/>
      <c r="C8" s="48"/>
      <c r="D8" s="48"/>
      <c r="E8" s="48"/>
      <c r="F8" s="48"/>
    </row>
    <row r="9" spans="1:12" ht="26.25" customHeight="1" x14ac:dyDescent="0.2">
      <c r="A9" s="231" t="s">
        <v>139</v>
      </c>
      <c r="B9" s="232"/>
      <c r="C9" s="28" t="s">
        <v>184</v>
      </c>
      <c r="D9" s="28" t="s">
        <v>185</v>
      </c>
      <c r="E9" s="29" t="s">
        <v>186</v>
      </c>
      <c r="F9" s="49" t="s">
        <v>1</v>
      </c>
    </row>
    <row r="10" spans="1:12" ht="16" x14ac:dyDescent="0.2">
      <c r="A10" s="13" t="s">
        <v>102</v>
      </c>
      <c r="B10" s="14" t="s">
        <v>103</v>
      </c>
      <c r="C10" s="14">
        <v>1244427743.3</v>
      </c>
      <c r="D10" s="14">
        <v>1342908625</v>
      </c>
      <c r="E10" s="22">
        <v>733582114.91999996</v>
      </c>
      <c r="F10" s="25">
        <f>SUM(C10:E10)</f>
        <v>3320918483.2200003</v>
      </c>
      <c r="G10" s="12"/>
      <c r="H10" s="12"/>
      <c r="I10" s="12"/>
      <c r="J10" s="12"/>
      <c r="K10" s="12"/>
      <c r="L10" s="12"/>
    </row>
    <row r="11" spans="1:12" ht="16" x14ac:dyDescent="0.2">
      <c r="A11" s="15" t="s">
        <v>104</v>
      </c>
      <c r="B11" s="16" t="s">
        <v>105</v>
      </c>
      <c r="C11" s="16">
        <v>0</v>
      </c>
      <c r="D11" s="16">
        <v>0</v>
      </c>
      <c r="E11" s="23">
        <v>9215250</v>
      </c>
      <c r="F11" s="26">
        <f t="shared" ref="F11:F20" si="0">SUM(C11:E11)</f>
        <v>9215250</v>
      </c>
      <c r="G11" s="12"/>
      <c r="H11" s="12"/>
      <c r="I11" s="12"/>
      <c r="J11" s="12"/>
      <c r="K11" s="12"/>
      <c r="L11" s="12"/>
    </row>
    <row r="12" spans="1:12" ht="16" x14ac:dyDescent="0.2">
      <c r="A12" s="15" t="s">
        <v>106</v>
      </c>
      <c r="B12" s="16" t="s">
        <v>107</v>
      </c>
      <c r="C12" s="16">
        <v>29352341.5</v>
      </c>
      <c r="D12" s="16">
        <v>19583349.640000001</v>
      </c>
      <c r="E12" s="23">
        <v>14802493.529999999</v>
      </c>
      <c r="F12" s="26">
        <f t="shared" si="0"/>
        <v>63738184.670000002</v>
      </c>
      <c r="G12" s="12"/>
      <c r="H12" s="12"/>
      <c r="I12" s="12"/>
      <c r="J12" s="12"/>
      <c r="K12" s="12"/>
      <c r="L12" s="12"/>
    </row>
    <row r="13" spans="1:12" ht="16" x14ac:dyDescent="0.2">
      <c r="A13" s="15" t="s">
        <v>108</v>
      </c>
      <c r="B13" s="16" t="s">
        <v>109</v>
      </c>
      <c r="C13" s="16">
        <v>1865924.74</v>
      </c>
      <c r="D13" s="16">
        <v>811593.44</v>
      </c>
      <c r="E13" s="23">
        <v>804649.49</v>
      </c>
      <c r="F13" s="26">
        <f t="shared" si="0"/>
        <v>3482167.67</v>
      </c>
      <c r="G13" s="12"/>
      <c r="H13" s="12"/>
      <c r="I13" s="12"/>
      <c r="J13" s="12"/>
      <c r="K13" s="12"/>
      <c r="L13" s="12"/>
    </row>
    <row r="14" spans="1:12" ht="16" x14ac:dyDescent="0.2">
      <c r="A14" s="15" t="s">
        <v>110</v>
      </c>
      <c r="B14" s="16" t="s">
        <v>111</v>
      </c>
      <c r="C14" s="16">
        <v>493410</v>
      </c>
      <c r="D14" s="16">
        <v>53400</v>
      </c>
      <c r="E14" s="23">
        <v>270690</v>
      </c>
      <c r="F14" s="26">
        <f t="shared" si="0"/>
        <v>817500</v>
      </c>
      <c r="G14" s="12"/>
      <c r="H14" s="12"/>
      <c r="I14" s="12"/>
      <c r="J14" s="12"/>
      <c r="K14" s="12"/>
      <c r="L14" s="12"/>
    </row>
    <row r="15" spans="1:12" ht="16" x14ac:dyDescent="0.2">
      <c r="A15" s="15" t="s">
        <v>112</v>
      </c>
      <c r="B15" s="16" t="s">
        <v>113</v>
      </c>
      <c r="C15" s="16">
        <v>32194784.129999999</v>
      </c>
      <c r="D15" s="16">
        <v>54021023.359999999</v>
      </c>
      <c r="E15" s="23">
        <v>50895393.880000003</v>
      </c>
      <c r="F15" s="26">
        <f t="shared" si="0"/>
        <v>137111201.37</v>
      </c>
      <c r="G15" s="12"/>
      <c r="H15" s="12"/>
      <c r="I15" s="12"/>
      <c r="J15" s="12"/>
      <c r="K15" s="12"/>
      <c r="L15" s="12"/>
    </row>
    <row r="16" spans="1:12" ht="15" customHeight="1" x14ac:dyDescent="0.2">
      <c r="A16" s="15" t="s">
        <v>114</v>
      </c>
      <c r="B16" s="16" t="s">
        <v>115</v>
      </c>
      <c r="C16" s="16">
        <v>2340655.2999999998</v>
      </c>
      <c r="D16" s="16">
        <v>1526066.32</v>
      </c>
      <c r="E16" s="23">
        <v>67933270.129999995</v>
      </c>
      <c r="F16" s="26">
        <f t="shared" si="0"/>
        <v>71799991.75</v>
      </c>
      <c r="G16" s="12"/>
      <c r="H16" s="12"/>
      <c r="I16" s="12"/>
      <c r="J16" s="12"/>
      <c r="K16" s="12"/>
      <c r="L16" s="12"/>
    </row>
    <row r="17" spans="1:12" ht="15" customHeight="1" x14ac:dyDescent="0.2">
      <c r="A17" s="15" t="s">
        <v>116</v>
      </c>
      <c r="B17" s="16" t="s">
        <v>117</v>
      </c>
      <c r="C17" s="16">
        <v>0</v>
      </c>
      <c r="D17" s="16">
        <v>0</v>
      </c>
      <c r="E17" s="23">
        <v>0</v>
      </c>
      <c r="F17" s="26">
        <f t="shared" si="0"/>
        <v>0</v>
      </c>
      <c r="G17" s="12"/>
      <c r="H17" s="12"/>
      <c r="I17" s="12"/>
      <c r="J17" s="12"/>
      <c r="K17" s="12"/>
      <c r="L17" s="12"/>
    </row>
    <row r="18" spans="1:12" ht="15" customHeight="1" x14ac:dyDescent="0.2">
      <c r="A18" s="15" t="s">
        <v>118</v>
      </c>
      <c r="B18" s="16" t="s">
        <v>119</v>
      </c>
      <c r="C18" s="16">
        <v>0</v>
      </c>
      <c r="D18" s="16">
        <v>0</v>
      </c>
      <c r="E18" s="23">
        <v>0</v>
      </c>
      <c r="F18" s="26">
        <f t="shared" si="0"/>
        <v>0</v>
      </c>
      <c r="G18" s="12"/>
      <c r="H18" s="12"/>
      <c r="I18" s="12"/>
      <c r="J18" s="12"/>
      <c r="K18" s="12"/>
      <c r="L18" s="12"/>
    </row>
    <row r="19" spans="1:12" ht="15" customHeight="1" x14ac:dyDescent="0.2">
      <c r="A19" s="15" t="s">
        <v>120</v>
      </c>
      <c r="B19" s="16" t="s">
        <v>121</v>
      </c>
      <c r="C19" s="16">
        <v>2034610.22</v>
      </c>
      <c r="D19" s="16">
        <v>0</v>
      </c>
      <c r="E19" s="23">
        <v>180100</v>
      </c>
      <c r="F19" s="26">
        <f t="shared" si="0"/>
        <v>2214710.2199999997</v>
      </c>
      <c r="G19" s="12"/>
      <c r="H19" s="12"/>
      <c r="I19" s="12"/>
      <c r="J19" s="12"/>
      <c r="K19" s="12"/>
      <c r="L19" s="12"/>
    </row>
    <row r="20" spans="1:12" ht="16" x14ac:dyDescent="0.2">
      <c r="A20" s="17" t="s">
        <v>122</v>
      </c>
      <c r="B20" s="18" t="s">
        <v>123</v>
      </c>
      <c r="C20" s="18">
        <v>37500</v>
      </c>
      <c r="D20" s="18">
        <v>8000</v>
      </c>
      <c r="E20" s="24">
        <v>60100</v>
      </c>
      <c r="F20" s="27">
        <f t="shared" si="0"/>
        <v>105600</v>
      </c>
      <c r="G20" s="12"/>
      <c r="H20" s="12"/>
      <c r="I20" s="12"/>
      <c r="J20" s="12"/>
      <c r="K20" s="12"/>
      <c r="L20" s="12"/>
    </row>
    <row r="21" spans="1:12" ht="16" x14ac:dyDescent="0.2">
      <c r="A21" s="17" t="s">
        <v>124</v>
      </c>
      <c r="B21" s="18" t="s">
        <v>125</v>
      </c>
      <c r="C21" s="18">
        <v>5845924.75</v>
      </c>
      <c r="D21" s="18">
        <v>3467172.98</v>
      </c>
      <c r="E21" s="24">
        <v>8105399.54</v>
      </c>
      <c r="F21" s="27">
        <f t="shared" ref="F21" si="1">SUM(C21:E21)</f>
        <v>17418497.27</v>
      </c>
      <c r="G21" s="12"/>
      <c r="H21" s="12"/>
      <c r="I21" s="12"/>
      <c r="J21" s="12"/>
      <c r="K21" s="12"/>
      <c r="L21" s="12"/>
    </row>
    <row r="22" spans="1:12" s="1" customFormat="1" ht="21" customHeight="1" thickBot="1" x14ac:dyDescent="0.25">
      <c r="A22" s="50" t="s">
        <v>1</v>
      </c>
      <c r="B22" s="30"/>
      <c r="C22" s="30">
        <f>SUM(C10:C21)</f>
        <v>1318592893.9400001</v>
      </c>
      <c r="D22" s="30">
        <f t="shared" ref="D22:E22" si="2">SUM(D10:D21)</f>
        <v>1422379230.74</v>
      </c>
      <c r="E22" s="31">
        <f t="shared" si="2"/>
        <v>885849461.48999989</v>
      </c>
      <c r="F22" s="32">
        <f>SUM(F10:F21)</f>
        <v>3626821586.1700001</v>
      </c>
      <c r="G22" s="11"/>
    </row>
    <row r="23" spans="1:12" s="64" customFormat="1" ht="16" thickTop="1" x14ac:dyDescent="0.2">
      <c r="A23" s="71"/>
      <c r="B23" s="65"/>
      <c r="C23" s="65"/>
      <c r="D23" s="65"/>
      <c r="E23" s="65"/>
      <c r="F23" s="72"/>
      <c r="G23" s="73"/>
    </row>
    <row r="24" spans="1:12" x14ac:dyDescent="0.2">
      <c r="A24" s="230" t="s">
        <v>190</v>
      </c>
      <c r="B24" s="204"/>
      <c r="C24" s="204"/>
      <c r="D24" s="204"/>
      <c r="E24" s="204"/>
      <c r="F24" s="9"/>
      <c r="G24" s="3"/>
    </row>
    <row r="25" spans="1:12" x14ac:dyDescent="0.2">
      <c r="C25" s="7"/>
      <c r="D25" s="7"/>
      <c r="E25" s="7"/>
      <c r="F25" s="7"/>
    </row>
    <row r="26" spans="1:12" x14ac:dyDescent="0.2">
      <c r="A26" s="225"/>
      <c r="B26" s="225"/>
      <c r="C26" s="225"/>
      <c r="D26" s="225"/>
      <c r="E26" s="225"/>
      <c r="F26" s="225"/>
    </row>
    <row r="27" spans="1:12" ht="16" x14ac:dyDescent="0.2">
      <c r="A27" s="34"/>
      <c r="B27" s="10"/>
      <c r="C27" s="210" t="s">
        <v>137</v>
      </c>
      <c r="D27" s="210"/>
      <c r="E27" s="210"/>
      <c r="F27" s="210"/>
    </row>
    <row r="28" spans="1:12" ht="16" x14ac:dyDescent="0.2">
      <c r="A28" s="10"/>
      <c r="B28" s="10"/>
      <c r="C28" s="210" t="s">
        <v>136</v>
      </c>
      <c r="D28" s="210"/>
      <c r="E28" s="210"/>
      <c r="F28" s="210"/>
    </row>
    <row r="29" spans="1:12" ht="16" x14ac:dyDescent="0.2">
      <c r="A29" s="33"/>
      <c r="B29" s="10"/>
      <c r="C29" s="210" t="s">
        <v>183</v>
      </c>
      <c r="D29" s="210"/>
      <c r="E29" s="210"/>
      <c r="F29" s="210"/>
    </row>
    <row r="30" spans="1:12" ht="16" x14ac:dyDescent="0.2">
      <c r="A30" s="33"/>
      <c r="B30" s="33"/>
      <c r="C30" s="45"/>
      <c r="D30" s="45"/>
      <c r="E30" s="45"/>
      <c r="F30" s="45"/>
    </row>
    <row r="31" spans="1:12" ht="15" customHeight="1" x14ac:dyDescent="0.2">
      <c r="B31" s="44"/>
      <c r="C31" s="205" t="s">
        <v>138</v>
      </c>
      <c r="D31" s="205"/>
      <c r="E31" s="205"/>
      <c r="F31" s="205"/>
    </row>
    <row r="32" spans="1:12" x14ac:dyDescent="0.2">
      <c r="A32" s="35"/>
      <c r="B32" s="35"/>
      <c r="C32" s="35"/>
      <c r="D32" s="35"/>
      <c r="E32" s="35"/>
      <c r="F32" s="35"/>
    </row>
    <row r="33" spans="1:6" ht="26.25" customHeight="1" x14ac:dyDescent="0.2">
      <c r="A33" s="231" t="s">
        <v>141</v>
      </c>
      <c r="B33" s="232"/>
      <c r="C33" s="28" t="s">
        <v>184</v>
      </c>
      <c r="D33" s="28" t="s">
        <v>185</v>
      </c>
      <c r="E33" s="29" t="s">
        <v>186</v>
      </c>
      <c r="F33" s="49" t="s">
        <v>1</v>
      </c>
    </row>
    <row r="34" spans="1:6" x14ac:dyDescent="0.2">
      <c r="A34" s="36">
        <v>0</v>
      </c>
      <c r="B34" s="37" t="s">
        <v>2</v>
      </c>
      <c r="C34" s="51">
        <v>444866107.83999997</v>
      </c>
      <c r="D34" s="51">
        <v>453993795.5</v>
      </c>
      <c r="E34" s="51">
        <v>467167750.60000002</v>
      </c>
      <c r="F34" s="52">
        <f>SUM(C34:E34)</f>
        <v>1366027653.9400001</v>
      </c>
    </row>
    <row r="35" spans="1:6" x14ac:dyDescent="0.2">
      <c r="A35" s="38">
        <v>1</v>
      </c>
      <c r="B35" s="39" t="s">
        <v>127</v>
      </c>
      <c r="C35" s="53">
        <v>251426690.88999999</v>
      </c>
      <c r="D35" s="53">
        <v>250357781.38</v>
      </c>
      <c r="E35" s="53">
        <v>236996557.75999999</v>
      </c>
      <c r="F35" s="54">
        <f t="shared" ref="F35:F40" si="3">SUM(C35:E35)</f>
        <v>738781030.02999997</v>
      </c>
    </row>
    <row r="36" spans="1:6" x14ac:dyDescent="0.2">
      <c r="A36" s="38">
        <v>2</v>
      </c>
      <c r="B36" s="39" t="s">
        <v>128</v>
      </c>
      <c r="C36" s="53">
        <v>18135723.84</v>
      </c>
      <c r="D36" s="53">
        <v>29414853.93</v>
      </c>
      <c r="E36" s="53">
        <v>37279825.979999997</v>
      </c>
      <c r="F36" s="54">
        <f t="shared" si="3"/>
        <v>84830403.75</v>
      </c>
    </row>
    <row r="37" spans="1:6" x14ac:dyDescent="0.2">
      <c r="A37" s="38">
        <v>3</v>
      </c>
      <c r="B37" s="39" t="s">
        <v>129</v>
      </c>
      <c r="C37" s="53">
        <v>0</v>
      </c>
      <c r="D37" s="53">
        <v>0</v>
      </c>
      <c r="E37" s="53">
        <v>0</v>
      </c>
      <c r="F37" s="54">
        <f t="shared" si="3"/>
        <v>0</v>
      </c>
    </row>
    <row r="38" spans="1:6" x14ac:dyDescent="0.2">
      <c r="A38" s="38">
        <v>5</v>
      </c>
      <c r="B38" s="39" t="s">
        <v>130</v>
      </c>
      <c r="C38" s="53">
        <v>593747121.20000005</v>
      </c>
      <c r="D38" s="53">
        <v>681972355.01999998</v>
      </c>
      <c r="E38" s="53">
        <v>61285871.009999998</v>
      </c>
      <c r="F38" s="54">
        <f t="shared" si="3"/>
        <v>1337005347.23</v>
      </c>
    </row>
    <row r="39" spans="1:6" x14ac:dyDescent="0.2">
      <c r="A39" s="38">
        <v>6</v>
      </c>
      <c r="B39" s="39" t="s">
        <v>131</v>
      </c>
      <c r="C39" s="53">
        <v>10417250.17</v>
      </c>
      <c r="D39" s="53">
        <v>6640444.9100000001</v>
      </c>
      <c r="E39" s="53">
        <v>15319279.140000001</v>
      </c>
      <c r="F39" s="54">
        <f t="shared" si="3"/>
        <v>32376974.219999999</v>
      </c>
    </row>
    <row r="40" spans="1:6" x14ac:dyDescent="0.2">
      <c r="A40" s="40">
        <v>7</v>
      </c>
      <c r="B40" s="41" t="s">
        <v>132</v>
      </c>
      <c r="C40" s="55">
        <v>0</v>
      </c>
      <c r="D40" s="55">
        <v>0</v>
      </c>
      <c r="E40" s="55">
        <v>67800177</v>
      </c>
      <c r="F40" s="56">
        <f t="shared" si="3"/>
        <v>67800177</v>
      </c>
    </row>
    <row r="41" spans="1:6" ht="27" customHeight="1" thickBot="1" x14ac:dyDescent="0.25">
      <c r="A41" s="42" t="s">
        <v>1</v>
      </c>
      <c r="B41" s="43"/>
      <c r="C41" s="57">
        <f>SUM(C34:C40)</f>
        <v>1318592893.9400001</v>
      </c>
      <c r="D41" s="57">
        <f t="shared" ref="D41:F41" si="4">SUM(D34:D40)</f>
        <v>1422379230.74</v>
      </c>
      <c r="E41" s="57">
        <f t="shared" si="4"/>
        <v>885849461.49000001</v>
      </c>
      <c r="F41" s="58">
        <f t="shared" si="4"/>
        <v>3626821586.1700001</v>
      </c>
    </row>
    <row r="42" spans="1:6" s="70" customFormat="1" ht="16" thickTop="1" x14ac:dyDescent="0.2">
      <c r="A42" s="67"/>
      <c r="B42" s="68"/>
      <c r="C42" s="69"/>
      <c r="D42" s="69"/>
      <c r="E42" s="69"/>
      <c r="F42" s="66"/>
    </row>
    <row r="43" spans="1:6" x14ac:dyDescent="0.2">
      <c r="A43" s="230" t="s">
        <v>190</v>
      </c>
      <c r="B43" s="204"/>
      <c r="C43" s="204"/>
      <c r="D43" s="204"/>
      <c r="E43" s="204"/>
      <c r="F43" s="7"/>
    </row>
    <row r="44" spans="1:6" x14ac:dyDescent="0.2">
      <c r="C44" s="7"/>
      <c r="D44" s="7"/>
      <c r="E44" s="7"/>
      <c r="F44" s="7"/>
    </row>
    <row r="45" spans="1:6" x14ac:dyDescent="0.2">
      <c r="C45" s="7"/>
      <c r="D45" s="7"/>
      <c r="E45" s="7"/>
      <c r="F45" s="7"/>
    </row>
    <row r="46" spans="1:6" x14ac:dyDescent="0.2">
      <c r="C46" s="7"/>
      <c r="D46" s="7"/>
      <c r="E46" s="7"/>
      <c r="F46" s="7"/>
    </row>
    <row r="47" spans="1:6" x14ac:dyDescent="0.2">
      <c r="C47" s="7"/>
      <c r="D47" s="7"/>
      <c r="E47" s="7"/>
      <c r="F47" s="7"/>
    </row>
    <row r="48" spans="1:6" x14ac:dyDescent="0.2">
      <c r="C48" s="7"/>
      <c r="D48" s="7"/>
      <c r="E48" s="7"/>
      <c r="F48" s="7"/>
    </row>
    <row r="49" spans="3:6" x14ac:dyDescent="0.2">
      <c r="C49" s="7"/>
      <c r="D49" s="7"/>
      <c r="E49" s="7"/>
      <c r="F49" s="7"/>
    </row>
    <row r="50" spans="3:6" x14ac:dyDescent="0.2">
      <c r="C50" s="7"/>
      <c r="D50" s="7"/>
      <c r="E50" s="7"/>
      <c r="F50" s="7"/>
    </row>
    <row r="51" spans="3:6" x14ac:dyDescent="0.2">
      <c r="C51" s="7"/>
      <c r="D51" s="7"/>
      <c r="E51" s="7"/>
      <c r="F51" s="7"/>
    </row>
    <row r="52" spans="3:6" x14ac:dyDescent="0.2">
      <c r="C52" s="7"/>
      <c r="D52" s="7"/>
      <c r="E52" s="7"/>
      <c r="F52" s="7"/>
    </row>
  </sheetData>
  <mergeCells count="15">
    <mergeCell ref="A43:E43"/>
    <mergeCell ref="C31:F31"/>
    <mergeCell ref="A33:B33"/>
    <mergeCell ref="A1:F1"/>
    <mergeCell ref="A2:F2"/>
    <mergeCell ref="C3:F3"/>
    <mergeCell ref="C4:F4"/>
    <mergeCell ref="C5:F5"/>
    <mergeCell ref="C7:F7"/>
    <mergeCell ref="A9:B9"/>
    <mergeCell ref="A26:F26"/>
    <mergeCell ref="C27:F27"/>
    <mergeCell ref="C28:F28"/>
    <mergeCell ref="C29:F29"/>
    <mergeCell ref="A24:E24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1 Programático I SEMES</vt:lpstr>
      <vt:lpstr>Ejec. x Actividad</vt:lpstr>
      <vt:lpstr>Ejec. x Dependencia</vt:lpstr>
      <vt:lpstr>Ejec. x Proceso y 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Solano Martinez</dc:creator>
  <cp:lastModifiedBy>Usuario de Microsoft Office</cp:lastModifiedBy>
  <cp:lastPrinted>2021-07-12T17:08:38Z</cp:lastPrinted>
  <dcterms:created xsi:type="dcterms:W3CDTF">2020-03-30T15:26:50Z</dcterms:created>
  <dcterms:modified xsi:type="dcterms:W3CDTF">2021-08-04T19:22:19Z</dcterms:modified>
</cp:coreProperties>
</file>